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comments1.xml" ContentType="application/vnd.openxmlformats-officedocument.spreadsheetml.comments+xml"/>
  <Override PartName="/xl/drawings/drawing2.xml" ContentType="application/vnd.openxmlformats-officedocument.drawing+xml"/>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0" yWindow="255" windowWidth="15480" windowHeight="11640" tabRatio="715" activeTab="1"/>
  </bookViews>
  <sheets>
    <sheet name="Cost Detail" sheetId="1" r:id="rId1"/>
    <sheet name="Cost Allocation Plan" sheetId="4" r:id="rId2"/>
  </sheets>
  <definedNames>
    <definedName name="ADpercent">'Cost Allocation Plan'!$M$2</definedName>
    <definedName name="County">'Cost Detail'!$D$2</definedName>
    <definedName name="CtyNme">'Cost Allocation Plan'!$C$2</definedName>
    <definedName name="Depr">'Cost Detail'!#REF!</definedName>
    <definedName name="DeprTax">'Cost Detail'!$J$59</definedName>
    <definedName name="DGSFee">'Cost Detail'!$J$62</definedName>
    <definedName name="FCPercent">'Cost Allocation Plan'!$I$2</definedName>
    <definedName name="FFY">'Cost Detail'!$J$60</definedName>
    <definedName name="FY">'Cost Detail'!$K$60</definedName>
    <definedName name="OLE_LINK4" localSheetId="0">'Cost Detail'!#REF!</definedName>
    <definedName name="_xlnm.Print_Area" localSheetId="1">'Cost Allocation Plan'!$B$1:$M$68</definedName>
    <definedName name="_xlnm.Print_Area" localSheetId="0">'Cost Detail'!$C$2:$K$62</definedName>
    <definedName name="_xlnm.Print_Titles" localSheetId="1">'Cost Allocation Plan'!$1:$2</definedName>
    <definedName name="_xlnm.Print_Titles" localSheetId="0">'Cost Detail'!$2:$4</definedName>
    <definedName name="SACWIS">'Cost Detail'!#REF!</definedName>
    <definedName name="Tax">'Cost Detail'!$J$58</definedName>
    <definedName name="VDate">'Cost Detail'!$K$2</definedName>
    <definedName name="Version">'Cost Detail'!$K$65</definedName>
    <definedName name="YTD">'Cost Detail'!#REF!</definedName>
  </definedNames>
  <calcPr calcId="145621"/>
</workbook>
</file>

<file path=xl/calcChain.xml><?xml version="1.0" encoding="utf-8"?>
<calcChain xmlns="http://schemas.openxmlformats.org/spreadsheetml/2006/main">
  <c r="AF34" i="1" l="1"/>
  <c r="AE34" i="1"/>
  <c r="AD34" i="1"/>
  <c r="AC34" i="1"/>
  <c r="AB34" i="1"/>
  <c r="Z34" i="1"/>
  <c r="Y34" i="1"/>
  <c r="W34" i="1"/>
  <c r="V34" i="1"/>
  <c r="T34" i="1"/>
  <c r="S34" i="1"/>
  <c r="R34" i="1"/>
  <c r="O34" i="1"/>
  <c r="M34" i="1"/>
  <c r="N34" i="1" s="1"/>
  <c r="AF35" i="1"/>
  <c r="AE35" i="1"/>
  <c r="AD35" i="1"/>
  <c r="AC35" i="1"/>
  <c r="AB35" i="1"/>
  <c r="Z35" i="1"/>
  <c r="Y35" i="1"/>
  <c r="W35" i="1"/>
  <c r="V35" i="1"/>
  <c r="T35" i="1"/>
  <c r="S35" i="1"/>
  <c r="R35" i="1"/>
  <c r="O35" i="1"/>
  <c r="M35" i="1"/>
  <c r="N35" i="1" s="1"/>
  <c r="AE36" i="1"/>
  <c r="AD36" i="1"/>
  <c r="AC36" i="1"/>
  <c r="AB36" i="1"/>
  <c r="AA36" i="1"/>
  <c r="Z36" i="1"/>
  <c r="Y36" i="1"/>
  <c r="W36" i="1"/>
  <c r="V36" i="1"/>
  <c r="T36" i="1"/>
  <c r="R36" i="1"/>
  <c r="P36" i="1"/>
  <c r="Q36" i="1" s="1"/>
  <c r="O36" i="1"/>
  <c r="M36" i="1"/>
  <c r="N36" i="1" s="1"/>
  <c r="K36" i="1"/>
  <c r="S36" i="1" s="1"/>
  <c r="U36" i="1" l="1"/>
  <c r="AF36" i="1"/>
  <c r="X36" i="1"/>
  <c r="N68" i="4"/>
  <c r="K35" i="1"/>
  <c r="K34" i="1"/>
  <c r="J39" i="1"/>
  <c r="T20" i="1"/>
  <c r="T21" i="1"/>
  <c r="T22" i="1"/>
  <c r="R20" i="1"/>
  <c r="R21" i="1"/>
  <c r="R22" i="1"/>
  <c r="O22" i="1"/>
  <c r="O20" i="1"/>
  <c r="J26" i="1" s="1"/>
  <c r="O21" i="1"/>
  <c r="M20" i="1"/>
  <c r="N20" i="1" s="1"/>
  <c r="M21" i="1"/>
  <c r="N21" i="1" s="1"/>
  <c r="M22" i="1"/>
  <c r="N22" i="1" s="1"/>
  <c r="V20" i="1"/>
  <c r="V21" i="1"/>
  <c r="V22" i="1"/>
  <c r="W20" i="1"/>
  <c r="W21" i="1"/>
  <c r="W22" i="1"/>
  <c r="Y20" i="1"/>
  <c r="Y21" i="1"/>
  <c r="Y22" i="1"/>
  <c r="Z20" i="1"/>
  <c r="Z21" i="1"/>
  <c r="Z22" i="1"/>
  <c r="AA20" i="1"/>
  <c r="AA21" i="1"/>
  <c r="AA22" i="1"/>
  <c r="AC20" i="1"/>
  <c r="AC21" i="1"/>
  <c r="AC22" i="1"/>
  <c r="AD20" i="1"/>
  <c r="AD21" i="1"/>
  <c r="AD22" i="1"/>
  <c r="AE20" i="1"/>
  <c r="AE21" i="1"/>
  <c r="AE22" i="1"/>
  <c r="AF20" i="1"/>
  <c r="AF21" i="1"/>
  <c r="AF22" i="1"/>
  <c r="AF8" i="1"/>
  <c r="AF9" i="1"/>
  <c r="AF10" i="1"/>
  <c r="AE8" i="1"/>
  <c r="AE9" i="1"/>
  <c r="AE10" i="1"/>
  <c r="AD8" i="1"/>
  <c r="AD9" i="1"/>
  <c r="AD10" i="1"/>
  <c r="AC8" i="1"/>
  <c r="AC9" i="1"/>
  <c r="AC10" i="1"/>
  <c r="AB8" i="1"/>
  <c r="AB9" i="1"/>
  <c r="AB10" i="1"/>
  <c r="Z8" i="1"/>
  <c r="Z9" i="1"/>
  <c r="Z10" i="1"/>
  <c r="Y8" i="1"/>
  <c r="Y9" i="1"/>
  <c r="Y10" i="1"/>
  <c r="W8" i="1"/>
  <c r="W9" i="1"/>
  <c r="W10" i="1"/>
  <c r="V8" i="1"/>
  <c r="V9" i="1"/>
  <c r="V10" i="1"/>
  <c r="T8" i="1"/>
  <c r="T9" i="1"/>
  <c r="T10" i="1"/>
  <c r="S8" i="1"/>
  <c r="S10" i="1"/>
  <c r="R8" i="1"/>
  <c r="R9" i="1"/>
  <c r="R10" i="1"/>
  <c r="P9" i="1"/>
  <c r="Q9" i="1" s="1"/>
  <c r="O8" i="1"/>
  <c r="O9" i="1"/>
  <c r="O10" i="1"/>
  <c r="O11" i="1"/>
  <c r="M8" i="1"/>
  <c r="N8" i="1" s="1"/>
  <c r="M9" i="1"/>
  <c r="N9" i="1" s="1"/>
  <c r="M10" i="1"/>
  <c r="N10" i="1" s="1"/>
  <c r="M11" i="1"/>
  <c r="N11" i="1" s="1"/>
  <c r="K21" i="1"/>
  <c r="P21" i="1" s="1"/>
  <c r="Q21" i="1" s="1"/>
  <c r="AB21" i="1" s="1"/>
  <c r="K22" i="1"/>
  <c r="S22" i="1" s="1"/>
  <c r="P22" i="1"/>
  <c r="Q22" i="1" s="1"/>
  <c r="K9" i="1"/>
  <c r="U9" i="1" s="1"/>
  <c r="K10" i="1"/>
  <c r="P10" i="1" s="1"/>
  <c r="Q10" i="1" s="1"/>
  <c r="R7" i="1"/>
  <c r="P11" i="1"/>
  <c r="Q11" i="1" s="1"/>
  <c r="R11" i="1"/>
  <c r="R19" i="1"/>
  <c r="R23" i="1"/>
  <c r="R24" i="1"/>
  <c r="R32" i="1"/>
  <c r="R33" i="1"/>
  <c r="R37" i="1"/>
  <c r="O7" i="1"/>
  <c r="O19" i="1"/>
  <c r="O23" i="1"/>
  <c r="O24" i="1"/>
  <c r="O32" i="1"/>
  <c r="O33" i="1"/>
  <c r="O37" i="1"/>
  <c r="K8" i="1"/>
  <c r="P8" i="1" s="1"/>
  <c r="K7" i="1"/>
  <c r="P7" i="1" s="1"/>
  <c r="Q7" i="1" s="1"/>
  <c r="J9" i="4"/>
  <c r="J10" i="4"/>
  <c r="L10" i="4" s="1"/>
  <c r="J11" i="4"/>
  <c r="J12" i="4"/>
  <c r="J13" i="4"/>
  <c r="J14" i="4"/>
  <c r="L14" i="4" s="1"/>
  <c r="J15" i="4"/>
  <c r="J16" i="4"/>
  <c r="L16" i="4" s="1"/>
  <c r="J17" i="4"/>
  <c r="J18" i="4"/>
  <c r="L18" i="4" s="1"/>
  <c r="J19" i="4"/>
  <c r="J20" i="4"/>
  <c r="J21" i="4"/>
  <c r="Z7" i="1"/>
  <c r="Z11" i="1"/>
  <c r="Z19" i="1"/>
  <c r="Z23" i="1"/>
  <c r="Z24" i="1"/>
  <c r="Z32" i="1"/>
  <c r="Z33" i="1"/>
  <c r="Z37" i="1"/>
  <c r="Y7" i="1"/>
  <c r="Y11" i="1"/>
  <c r="Y19" i="1"/>
  <c r="Y23" i="1"/>
  <c r="Y24" i="1"/>
  <c r="Y32" i="1"/>
  <c r="Y33" i="1"/>
  <c r="Y37" i="1"/>
  <c r="AA19" i="1"/>
  <c r="AA23" i="1"/>
  <c r="AA24" i="1"/>
  <c r="AA37" i="1"/>
  <c r="AB7" i="1"/>
  <c r="AB11" i="1"/>
  <c r="AB32" i="1"/>
  <c r="AB33" i="1"/>
  <c r="AB37" i="1"/>
  <c r="AD7" i="1"/>
  <c r="AD11" i="1"/>
  <c r="AD19" i="1"/>
  <c r="AD23" i="1"/>
  <c r="AD24" i="1"/>
  <c r="AD32" i="1"/>
  <c r="AD33" i="1"/>
  <c r="AD37" i="1"/>
  <c r="AE7" i="1"/>
  <c r="AE11" i="1"/>
  <c r="AE19" i="1"/>
  <c r="AE23" i="1"/>
  <c r="AE24" i="1"/>
  <c r="AE32" i="1"/>
  <c r="AE33" i="1"/>
  <c r="AE37" i="1"/>
  <c r="AF7" i="1"/>
  <c r="AF11" i="1"/>
  <c r="AF19" i="1"/>
  <c r="AF23" i="1"/>
  <c r="AF24" i="1"/>
  <c r="AF32" i="1"/>
  <c r="AF33" i="1"/>
  <c r="F9" i="4"/>
  <c r="F10" i="4"/>
  <c r="F11" i="4"/>
  <c r="F12" i="4"/>
  <c r="F13" i="4"/>
  <c r="F14" i="4"/>
  <c r="F15" i="4"/>
  <c r="F16" i="4"/>
  <c r="F17" i="4"/>
  <c r="F18" i="4"/>
  <c r="F19" i="4"/>
  <c r="F20" i="4"/>
  <c r="F21" i="4"/>
  <c r="K11" i="1"/>
  <c r="U11" i="1" s="1"/>
  <c r="K19" i="1"/>
  <c r="P19" i="1"/>
  <c r="Q19" i="1" s="1"/>
  <c r="S19" i="1"/>
  <c r="K20" i="1"/>
  <c r="P20" i="1" s="1"/>
  <c r="K23" i="1"/>
  <c r="S23" i="1" s="1"/>
  <c r="S24" i="1"/>
  <c r="K33" i="1"/>
  <c r="U33" i="1" s="1"/>
  <c r="S33" i="1"/>
  <c r="K37" i="1"/>
  <c r="K39" i="1" s="1"/>
  <c r="P37" i="1"/>
  <c r="Q37" i="1" s="1"/>
  <c r="S37" i="1"/>
  <c r="K32" i="1"/>
  <c r="P32" i="1" s="1"/>
  <c r="Q32" i="1" s="1"/>
  <c r="N21" i="4"/>
  <c r="N20" i="4"/>
  <c r="N19" i="4"/>
  <c r="N18" i="4"/>
  <c r="N17" i="4"/>
  <c r="N16" i="4"/>
  <c r="N15" i="4"/>
  <c r="N14" i="4"/>
  <c r="N13" i="4"/>
  <c r="N12" i="4"/>
  <c r="N11" i="4"/>
  <c r="N10" i="4"/>
  <c r="N9" i="4"/>
  <c r="U7" i="1"/>
  <c r="U19" i="1"/>
  <c r="U23" i="1"/>
  <c r="U24" i="1"/>
  <c r="U37" i="1"/>
  <c r="T7" i="1"/>
  <c r="T11" i="1"/>
  <c r="T19" i="1"/>
  <c r="T23" i="1"/>
  <c r="T24" i="1"/>
  <c r="T32" i="1"/>
  <c r="T33" i="1"/>
  <c r="T37" i="1"/>
  <c r="M7" i="1"/>
  <c r="J12" i="1" s="1"/>
  <c r="J14" i="1" s="1"/>
  <c r="W7" i="1"/>
  <c r="W11" i="1"/>
  <c r="W19" i="1"/>
  <c r="W50" i="1" s="1"/>
  <c r="W23" i="1"/>
  <c r="W24" i="1"/>
  <c r="W32" i="1"/>
  <c r="W33" i="1"/>
  <c r="W37" i="1"/>
  <c r="U58" i="1"/>
  <c r="V58" i="1"/>
  <c r="T58" i="1"/>
  <c r="U59" i="1"/>
  <c r="V59" i="1"/>
  <c r="T59" i="1"/>
  <c r="U60" i="1"/>
  <c r="S60" i="1" s="1"/>
  <c r="V60" i="1"/>
  <c r="T60" i="1"/>
  <c r="V7" i="1"/>
  <c r="U61" i="1"/>
  <c r="V61" i="1"/>
  <c r="T61" i="1"/>
  <c r="U62" i="1"/>
  <c r="V62" i="1"/>
  <c r="T62" i="1"/>
  <c r="V11" i="1"/>
  <c r="V19" i="1"/>
  <c r="V23" i="1"/>
  <c r="V24" i="1"/>
  <c r="V32" i="1"/>
  <c r="V33" i="1"/>
  <c r="V37" i="1"/>
  <c r="I15" i="1"/>
  <c r="I14" i="1"/>
  <c r="AC11" i="1"/>
  <c r="AC7" i="1"/>
  <c r="AC32" i="1"/>
  <c r="S32" i="1"/>
  <c r="M32" i="1"/>
  <c r="AC33" i="1"/>
  <c r="M33" i="1"/>
  <c r="N33" i="1" s="1"/>
  <c r="AC37" i="1"/>
  <c r="M37" i="1"/>
  <c r="N37" i="1" s="1"/>
  <c r="L12" i="4"/>
  <c r="L20" i="4"/>
  <c r="M19" i="1"/>
  <c r="N19" i="1" s="1"/>
  <c r="M23" i="1"/>
  <c r="N23" i="1" s="1"/>
  <c r="M24" i="1"/>
  <c r="N24" i="1" s="1"/>
  <c r="AC23" i="1"/>
  <c r="AC24" i="1"/>
  <c r="C2" i="4"/>
  <c r="B70" i="4" s="1"/>
  <c r="D19" i="4"/>
  <c r="D21" i="4"/>
  <c r="D20" i="4"/>
  <c r="D18" i="4"/>
  <c r="D17" i="4"/>
  <c r="D16" i="4"/>
  <c r="D15" i="4"/>
  <c r="D14" i="4"/>
  <c r="D13" i="4"/>
  <c r="D12" i="4"/>
  <c r="D11" i="4"/>
  <c r="D10" i="4"/>
  <c r="D9" i="4"/>
  <c r="C30" i="4"/>
  <c r="I28" i="1"/>
  <c r="I27" i="1"/>
  <c r="AC19" i="1"/>
  <c r="I41" i="1"/>
  <c r="I40" i="1"/>
  <c r="I47" i="1"/>
  <c r="I46" i="1"/>
  <c r="S7" i="1"/>
  <c r="N7" i="1"/>
  <c r="AD44" i="1"/>
  <c r="N32" i="1"/>
  <c r="U8" i="1"/>
  <c r="U21" i="1"/>
  <c r="S9" i="1"/>
  <c r="U22" i="1"/>
  <c r="P33" i="1"/>
  <c r="Q33" i="1" s="1"/>
  <c r="P24" i="1"/>
  <c r="Q24" i="1" s="1"/>
  <c r="AB24" i="1" s="1"/>
  <c r="P23" i="1"/>
  <c r="Q23" i="1" s="1"/>
  <c r="J13" i="1"/>
  <c r="AC44" i="1"/>
  <c r="R47" i="1"/>
  <c r="K47" i="1" s="1"/>
  <c r="U20" i="1" l="1"/>
  <c r="S11" i="1"/>
  <c r="U32" i="1"/>
  <c r="U34" i="1"/>
  <c r="P34" i="1"/>
  <c r="Q34" i="1" s="1"/>
  <c r="U35" i="1"/>
  <c r="P35" i="1"/>
  <c r="Q35" i="1" s="1"/>
  <c r="AA35" i="1" s="1"/>
  <c r="S61" i="1"/>
  <c r="AA7" i="1"/>
  <c r="B71" i="4"/>
  <c r="X7" i="1"/>
  <c r="J38" i="1"/>
  <c r="J40" i="1" s="1"/>
  <c r="K41" i="1"/>
  <c r="AB23" i="1"/>
  <c r="X23" i="1"/>
  <c r="S21" i="1"/>
  <c r="S20" i="1"/>
  <c r="K26" i="1" s="1"/>
  <c r="T49" i="1"/>
  <c r="K49" i="1" s="1"/>
  <c r="K13" i="1"/>
  <c r="L21" i="4"/>
  <c r="L19" i="4"/>
  <c r="L17" i="4"/>
  <c r="L15" i="4"/>
  <c r="L13" i="4"/>
  <c r="L11" i="4"/>
  <c r="L9" i="4"/>
  <c r="Z44" i="1"/>
  <c r="AE44" i="1"/>
  <c r="K28" i="1"/>
  <c r="J16" i="1"/>
  <c r="S62" i="1"/>
  <c r="S59" i="1"/>
  <c r="S58" i="1"/>
  <c r="O44" i="1"/>
  <c r="K15" i="1"/>
  <c r="V50" i="1"/>
  <c r="K50" i="1" s="1"/>
  <c r="Y44" i="1"/>
  <c r="X37" i="1"/>
  <c r="AF37" i="1"/>
  <c r="AF44" i="1" s="1"/>
  <c r="Q20" i="1"/>
  <c r="AB20" i="1" s="1"/>
  <c r="K25" i="1"/>
  <c r="AB19" i="1"/>
  <c r="AB44" i="1" s="1"/>
  <c r="X19" i="1"/>
  <c r="Q8" i="1"/>
  <c r="K12" i="1"/>
  <c r="K14" i="1" s="1"/>
  <c r="AB22" i="1"/>
  <c r="X22" i="1"/>
  <c r="N46" i="1"/>
  <c r="AA32" i="1"/>
  <c r="X32" i="1"/>
  <c r="X24" i="1"/>
  <c r="S44" i="1"/>
  <c r="K44" i="1" s="1"/>
  <c r="X9" i="1"/>
  <c r="X20" i="1"/>
  <c r="X21" i="1"/>
  <c r="U10" i="1"/>
  <c r="AA9" i="1"/>
  <c r="J25" i="1"/>
  <c r="M45" i="1"/>
  <c r="AA33" i="1"/>
  <c r="X33" i="1"/>
  <c r="AA11" i="1"/>
  <c r="X11" i="1"/>
  <c r="AA10" i="1"/>
  <c r="X10" i="1"/>
  <c r="Q46" i="1"/>
  <c r="K46" i="1" s="1"/>
  <c r="K53" i="1" s="1"/>
  <c r="X35" i="1" l="1"/>
  <c r="K38" i="1"/>
  <c r="K40" i="1" s="1"/>
  <c r="U52" i="1"/>
  <c r="K52" i="1" s="1"/>
  <c r="P45" i="1"/>
  <c r="K45" i="1" s="1"/>
  <c r="AA34" i="1"/>
  <c r="X34" i="1"/>
  <c r="J42" i="1"/>
  <c r="K51" i="1"/>
  <c r="K42" i="1"/>
  <c r="K16" i="1"/>
  <c r="K27" i="1"/>
  <c r="K29" i="1" s="1"/>
  <c r="J27" i="1"/>
  <c r="J29" i="1" s="1"/>
  <c r="AA8" i="1"/>
  <c r="AA44" i="1" s="1"/>
  <c r="X8" i="1"/>
  <c r="X54" i="1" s="1"/>
  <c r="K56" i="1" s="1"/>
  <c r="K48" i="1"/>
  <c r="E3" i="4" s="1"/>
  <c r="K54" i="1"/>
  <c r="K55" i="1" l="1"/>
  <c r="E4" i="4" s="1"/>
  <c r="E17" i="4" l="1"/>
  <c r="E15" i="4"/>
  <c r="E12" i="4"/>
  <c r="E10" i="4"/>
  <c r="E20" i="4"/>
  <c r="E16" i="4"/>
  <c r="E13" i="4"/>
  <c r="E11" i="4"/>
  <c r="E9" i="4"/>
  <c r="E19" i="4"/>
  <c r="E14" i="4"/>
  <c r="E24" i="4"/>
  <c r="E21" i="4"/>
  <c r="E18" i="4"/>
  <c r="E5" i="4"/>
  <c r="E25" i="4" s="1"/>
  <c r="E64" i="4" l="1"/>
  <c r="E63" i="4"/>
  <c r="E65" i="4"/>
  <c r="I16" i="4"/>
  <c r="H16" i="4"/>
  <c r="H18" i="4"/>
  <c r="I18" i="4"/>
  <c r="I17" i="4"/>
  <c r="H17" i="4"/>
  <c r="I9" i="4"/>
  <c r="E22" i="4"/>
  <c r="H9" i="4"/>
  <c r="I13" i="4"/>
  <c r="H13" i="4"/>
  <c r="I15" i="4"/>
  <c r="H15" i="4"/>
  <c r="H11" i="4"/>
  <c r="I11" i="4"/>
  <c r="I10" i="4"/>
  <c r="H10" i="4"/>
  <c r="I21" i="4"/>
  <c r="H21" i="4"/>
  <c r="I12" i="4"/>
  <c r="H12" i="4"/>
  <c r="I20" i="4"/>
  <c r="H20" i="4"/>
  <c r="I14" i="4"/>
  <c r="H14" i="4"/>
  <c r="H19" i="4"/>
  <c r="I19" i="4"/>
  <c r="H65" i="4" l="1"/>
  <c r="I65" i="4"/>
  <c r="H64" i="4"/>
  <c r="I64" i="4"/>
  <c r="H63" i="4"/>
  <c r="I63" i="4"/>
  <c r="K19" i="4"/>
  <c r="M19" i="4" s="1"/>
  <c r="K14" i="4"/>
  <c r="M14" i="4" s="1"/>
  <c r="K20" i="4"/>
  <c r="M20" i="4" s="1"/>
  <c r="K12" i="4"/>
  <c r="M12" i="4" s="1"/>
  <c r="K21" i="4"/>
  <c r="M21" i="4" s="1"/>
  <c r="K10" i="4"/>
  <c r="M10" i="4" s="1"/>
  <c r="K15" i="4"/>
  <c r="M15" i="4" s="1"/>
  <c r="K13" i="4"/>
  <c r="M13" i="4" s="1"/>
  <c r="H22" i="4"/>
  <c r="K9" i="4"/>
  <c r="M9" i="4" s="1"/>
  <c r="I22" i="4"/>
  <c r="M18" i="4"/>
  <c r="K18" i="4"/>
  <c r="K11" i="4"/>
  <c r="M11" i="4" s="1"/>
  <c r="K17" i="4"/>
  <c r="M17" i="4" s="1"/>
  <c r="K16" i="4"/>
  <c r="K64" i="4" l="1"/>
  <c r="M64" i="4" s="1"/>
  <c r="K63" i="4"/>
  <c r="M63" i="4" s="1"/>
  <c r="K65" i="4"/>
  <c r="M65" i="4" s="1"/>
  <c r="K22" i="4"/>
  <c r="M16" i="4"/>
  <c r="M22" i="4" l="1"/>
  <c r="E49" i="4" l="1"/>
  <c r="I49" i="4" s="1"/>
  <c r="E32" i="4"/>
  <c r="E67" i="4"/>
  <c r="E31" i="4"/>
  <c r="E37" i="4"/>
  <c r="I37" i="4" s="1"/>
  <c r="H49" i="4"/>
  <c r="E46" i="4"/>
  <c r="E60" i="4"/>
  <c r="E38" i="4"/>
  <c r="E34" i="4"/>
  <c r="E61" i="4"/>
  <c r="E66" i="4"/>
  <c r="E59" i="4"/>
  <c r="E45" i="4"/>
  <c r="E58" i="4"/>
  <c r="E44" i="4"/>
  <c r="E57" i="4"/>
  <c r="E50" i="4"/>
  <c r="E43" i="4"/>
  <c r="E56" i="4"/>
  <c r="E42" i="4"/>
  <c r="I32" i="4"/>
  <c r="H31" i="4"/>
  <c r="I31" i="4"/>
  <c r="H32" i="4"/>
  <c r="H37" i="4"/>
  <c r="E35" i="4"/>
  <c r="E52" i="4"/>
  <c r="E33" i="4"/>
  <c r="E40" i="4"/>
  <c r="E54" i="4"/>
  <c r="E36" i="4"/>
  <c r="E62" i="4"/>
  <c r="E55" i="4"/>
  <c r="E48" i="4"/>
  <c r="E41" i="4"/>
  <c r="E51" i="4"/>
  <c r="E53" i="4"/>
  <c r="E47" i="4"/>
  <c r="E39" i="4"/>
  <c r="I67" i="4" l="1"/>
  <c r="H67" i="4"/>
  <c r="I41" i="4"/>
  <c r="H41" i="4"/>
  <c r="I55" i="4"/>
  <c r="H55" i="4"/>
  <c r="I62" i="4"/>
  <c r="H62" i="4"/>
  <c r="I40" i="4"/>
  <c r="H40" i="4"/>
  <c r="I35" i="4"/>
  <c r="H35" i="4"/>
  <c r="I42" i="4"/>
  <c r="H42" i="4"/>
  <c r="H43" i="4"/>
  <c r="I43" i="4"/>
  <c r="H57" i="4"/>
  <c r="I57" i="4"/>
  <c r="I58" i="4"/>
  <c r="H58" i="4"/>
  <c r="I66" i="4"/>
  <c r="H66" i="4"/>
  <c r="I34" i="4"/>
  <c r="H34" i="4"/>
  <c r="H46" i="4"/>
  <c r="I46" i="4"/>
  <c r="K37" i="4"/>
  <c r="M37" i="4" s="1"/>
  <c r="E68" i="4"/>
  <c r="I47" i="4"/>
  <c r="H47" i="4"/>
  <c r="I39" i="4"/>
  <c r="H39" i="4"/>
  <c r="I53" i="4"/>
  <c r="H53" i="4"/>
  <c r="I51" i="4"/>
  <c r="H51" i="4"/>
  <c r="I48" i="4"/>
  <c r="H48" i="4"/>
  <c r="I36" i="4"/>
  <c r="H36" i="4"/>
  <c r="I54" i="4"/>
  <c r="H54" i="4"/>
  <c r="I33" i="4"/>
  <c r="H33" i="4"/>
  <c r="I52" i="4"/>
  <c r="H52" i="4"/>
  <c r="I56" i="4"/>
  <c r="H56" i="4"/>
  <c r="H50" i="4"/>
  <c r="I50" i="4"/>
  <c r="I44" i="4"/>
  <c r="H44" i="4"/>
  <c r="H45" i="4"/>
  <c r="I45" i="4"/>
  <c r="H59" i="4"/>
  <c r="I59" i="4"/>
  <c r="I61" i="4"/>
  <c r="H61" i="4"/>
  <c r="H38" i="4"/>
  <c r="I38" i="4"/>
  <c r="H60" i="4"/>
  <c r="I60" i="4"/>
  <c r="K31" i="4"/>
  <c r="K32" i="4"/>
  <c r="M32" i="4" s="1"/>
  <c r="K49" i="4"/>
  <c r="M49" i="4" s="1"/>
  <c r="K62" i="4" l="1"/>
  <c r="K67" i="4"/>
  <c r="M67" i="4" s="1"/>
  <c r="K60" i="4"/>
  <c r="K38" i="4"/>
  <c r="K59" i="4"/>
  <c r="K44" i="4"/>
  <c r="K33" i="4"/>
  <c r="K48" i="4"/>
  <c r="M48" i="4" s="1"/>
  <c r="K47" i="4"/>
  <c r="K34" i="4"/>
  <c r="K42" i="4"/>
  <c r="K35" i="4"/>
  <c r="M35" i="4" s="1"/>
  <c r="K57" i="4"/>
  <c r="K40" i="4"/>
  <c r="M40" i="4" s="1"/>
  <c r="K56" i="4"/>
  <c r="M56" i="4" s="1"/>
  <c r="H68" i="4"/>
  <c r="I68" i="4"/>
  <c r="K39" i="4"/>
  <c r="M39" i="4" s="1"/>
  <c r="K55" i="4"/>
  <c r="M55" i="4" s="1"/>
  <c r="M60" i="4"/>
  <c r="M38" i="4"/>
  <c r="K61" i="4"/>
  <c r="M61" i="4" s="1"/>
  <c r="M59" i="4"/>
  <c r="K45" i="4"/>
  <c r="M45" i="4" s="1"/>
  <c r="M44" i="4"/>
  <c r="K50" i="4"/>
  <c r="M50" i="4" s="1"/>
  <c r="K52" i="4"/>
  <c r="M52" i="4" s="1"/>
  <c r="M33" i="4"/>
  <c r="K54" i="4"/>
  <c r="M54" i="4" s="1"/>
  <c r="K36" i="4"/>
  <c r="M36" i="4" s="1"/>
  <c r="K51" i="4"/>
  <c r="M51" i="4" s="1"/>
  <c r="K53" i="4"/>
  <c r="M53" i="4" s="1"/>
  <c r="M47" i="4"/>
  <c r="K46" i="4"/>
  <c r="M46" i="4" s="1"/>
  <c r="M34" i="4"/>
  <c r="K66" i="4"/>
  <c r="M66" i="4" s="1"/>
  <c r="K58" i="4"/>
  <c r="M58" i="4" s="1"/>
  <c r="M57" i="4"/>
  <c r="K43" i="4"/>
  <c r="M43" i="4" s="1"/>
  <c r="M42" i="4"/>
  <c r="M31" i="4"/>
  <c r="M62" i="4"/>
  <c r="K41" i="4"/>
  <c r="M41" i="4" s="1"/>
  <c r="K68" i="4" l="1"/>
  <c r="M68" i="4"/>
</calcChain>
</file>

<file path=xl/comments1.xml><?xml version="1.0" encoding="utf-8"?>
<comments xmlns="http://schemas.openxmlformats.org/spreadsheetml/2006/main">
  <authors>
    <author>fguice</author>
  </authors>
  <commentList>
    <comment ref="J58" authorId="0">
      <text>
        <r>
          <rPr>
            <sz val="8"/>
            <color indexed="81"/>
            <rFont val="Tahoma"/>
            <family val="2"/>
          </rPr>
          <t>Enter the current Sales Tax Rate for Your County.</t>
        </r>
      </text>
    </comment>
    <comment ref="J59" authorId="0">
      <text>
        <r>
          <rPr>
            <sz val="8"/>
            <color indexed="81"/>
            <rFont val="Tahoma"/>
            <family val="2"/>
          </rPr>
          <t>DEPRECIATION: 
The Standard for California is Y. 
This will include the Taxes and Fees in the Depreciation Table.
Enter N if Taxes and Fees are to be excluded from Depreciation.
Not Used when NO depreciation will be done for this APD.</t>
        </r>
      </text>
    </comment>
    <comment ref="J60" authorId="0">
      <text>
        <r>
          <rPr>
            <sz val="8"/>
            <color indexed="81"/>
            <rFont val="Tahoma"/>
            <family val="2"/>
          </rPr>
          <t>Enter the 4 digit year of planned procurement.</t>
        </r>
        <r>
          <rPr>
            <sz val="8"/>
            <color indexed="81"/>
            <rFont val="Tahoma"/>
            <family val="2"/>
          </rPr>
          <t xml:space="preserve">
</t>
        </r>
      </text>
    </comment>
    <comment ref="J61" authorId="0">
      <text>
        <r>
          <rPr>
            <sz val="8"/>
            <color indexed="81"/>
            <rFont val="Tahoma"/>
            <family val="2"/>
          </rPr>
          <t>Choose the month the purchase is expected to occur for this APD.</t>
        </r>
      </text>
    </comment>
    <comment ref="J62" authorId="0">
      <text>
        <r>
          <rPr>
            <sz val="8"/>
            <color indexed="81"/>
            <rFont val="Arial"/>
            <family val="2"/>
          </rPr>
          <t xml:space="preserve">If the SSC or CMAS contracts will be used for a purchase, this value should be set to the current DGS fee for the contract. 
</t>
        </r>
      </text>
    </comment>
  </commentList>
</comments>
</file>

<file path=xl/comments2.xml><?xml version="1.0" encoding="utf-8"?>
<comments xmlns="http://schemas.openxmlformats.org/spreadsheetml/2006/main">
  <authors>
    <author>Zach Nolan</author>
    <author>fguice</author>
    <author>mgomes</author>
    <author>Zachary Nolan</author>
  </authors>
  <commentList>
    <comment ref="C8" authorId="0">
      <text>
        <r>
          <rPr>
            <sz val="8"/>
            <color indexed="81"/>
            <rFont val="Tahoma"/>
            <family val="2"/>
          </rPr>
          <t xml:space="preserve">These are all mandatory distribution program codes. 
If county does not allocate costs to a specific program the associated cost can be allocated to another program that uses the same funding source. 
</t>
        </r>
      </text>
    </comment>
    <comment ref="E8" authorId="0">
      <text>
        <r>
          <rPr>
            <sz val="8"/>
            <color indexed="81"/>
            <rFont val="Tahoma"/>
            <family val="2"/>
          </rPr>
          <t xml:space="preserve">The CWS/CMS allocation is based on CFL 08/08-47. Funding share costs will need to be updated annually.
</t>
        </r>
      </text>
    </comment>
    <comment ref="C26" authorId="1">
      <text>
        <r>
          <rPr>
            <sz val="9"/>
            <color indexed="81"/>
            <rFont val="Arial"/>
            <family val="2"/>
          </rPr>
          <t xml:space="preserve">The </t>
        </r>
        <r>
          <rPr>
            <b/>
            <sz val="9"/>
            <color indexed="81"/>
            <rFont val="Arial"/>
            <family val="2"/>
          </rPr>
          <t>Add Row</t>
        </r>
        <r>
          <rPr>
            <sz val="9"/>
            <color indexed="81"/>
            <rFont val="Arial"/>
            <family val="2"/>
          </rPr>
          <t xml:space="preserve"> Button will duplicate a row in this table.  Click on a row in this table,  then click the </t>
        </r>
        <r>
          <rPr>
            <b/>
            <sz val="9"/>
            <color indexed="81"/>
            <rFont val="Arial"/>
            <family val="2"/>
          </rPr>
          <t>Add Row</t>
        </r>
        <r>
          <rPr>
            <sz val="9"/>
            <color indexed="81"/>
            <rFont val="Arial"/>
            <family val="2"/>
          </rPr>
          <t xml:space="preserve"> Button.  The duplicated Program Code may then be changed.</t>
        </r>
      </text>
    </comment>
    <comment ref="D26" authorId="1">
      <text>
        <r>
          <rPr>
            <sz val="9"/>
            <color indexed="81"/>
            <rFont val="Arial"/>
            <family val="2"/>
          </rPr>
          <t xml:space="preserve">The </t>
        </r>
        <r>
          <rPr>
            <b/>
            <sz val="9"/>
            <color indexed="81"/>
            <rFont val="Arial"/>
            <family val="2"/>
          </rPr>
          <t>Delete Row</t>
        </r>
        <r>
          <rPr>
            <sz val="9"/>
            <color indexed="81"/>
            <rFont val="Arial"/>
            <family val="2"/>
          </rPr>
          <t xml:space="preserve"> button will delete an row from this table. (CANNOT UNDO)  Click on any cell in the row to be deleted and Click the </t>
        </r>
        <r>
          <rPr>
            <b/>
            <sz val="9"/>
            <color indexed="81"/>
            <rFont val="Arial"/>
            <family val="2"/>
          </rPr>
          <t>Delete Row</t>
        </r>
        <r>
          <rPr>
            <sz val="9"/>
            <color indexed="81"/>
            <rFont val="Arial"/>
            <family val="2"/>
          </rPr>
          <t xml:space="preserve"> button.</t>
        </r>
      </text>
    </comment>
    <comment ref="C27" authorId="1">
      <text>
        <r>
          <rPr>
            <b/>
            <sz val="8"/>
            <color indexed="81"/>
            <rFont val="Tahoma"/>
            <family val="2"/>
          </rPr>
          <t>The Add Row Button will duplicate a row of the Non-CWS/CMS table.
First click on the Program or Time Study Code of the row to be added
Then click the Add Row Button.
The Program or Time Study code may then be changed.</t>
        </r>
      </text>
    </comment>
    <comment ref="C29" authorId="1">
      <text>
        <r>
          <rPr>
            <sz val="8"/>
            <color indexed="81"/>
            <rFont val="Tahoma"/>
            <family val="2"/>
          </rPr>
          <t>Program Codes or Time Study Codes
P = 3 Digit Program Codes
T = 4 Digit Time Study Codes
Allocation for the Non-CWS/CMS table may use either 3 digit Program Codes or 4 digit Time Study Codes.</t>
        </r>
        <r>
          <rPr>
            <b/>
            <sz val="8"/>
            <color indexed="81"/>
            <rFont val="Tahoma"/>
            <family val="2"/>
          </rPr>
          <t xml:space="preserve">
</t>
        </r>
      </text>
    </comment>
    <comment ref="C30" authorId="2">
      <text>
        <r>
          <rPr>
            <sz val="8"/>
            <color indexed="81"/>
            <rFont val="Arial"/>
            <family val="2"/>
          </rPr>
          <t>The default is the 3 digit Program Code. (If you want to enter the 4 digit Time Study Code, select "T" from the drop down box in the cell above.)  
Enter the codes that your county has determined to be the appropriate benefiting programs for this APD</t>
        </r>
        <r>
          <rPr>
            <sz val="9"/>
            <color indexed="81"/>
            <rFont val="Tahoma"/>
            <family val="2"/>
          </rPr>
          <t xml:space="preserve">
</t>
        </r>
      </text>
    </comment>
    <comment ref="N30" authorId="3">
      <text>
        <r>
          <rPr>
            <b/>
            <sz val="8"/>
            <color indexed="81"/>
            <rFont val="Tahoma"/>
            <family val="2"/>
          </rPr>
          <t>Zachary Nolan:</t>
        </r>
        <r>
          <rPr>
            <sz val="8"/>
            <color indexed="81"/>
            <rFont val="Tahoma"/>
            <family val="2"/>
          </rPr>
          <t xml:space="preserve">
This column contains the relative values for each program based on the chosen allocation methodology. This value is used to calculate the Funding Source Share of Non-CWS/CMS (%) to correctly distribute the total costs for each program.
Enter the Distribution Data values for each Program Code being allocated to in the Non-CWS/CMS table.
*If time study hours are being used enter the total number of time study hours used for the allocation. 
*If the % of each program is known, then enter the appropriate % for each program code. 
*If the relative value is calculated in another method, enter the relative value for each program.
</t>
        </r>
      </text>
    </comment>
  </commentList>
</comments>
</file>

<file path=xl/sharedStrings.xml><?xml version="1.0" encoding="utf-8"?>
<sst xmlns="http://schemas.openxmlformats.org/spreadsheetml/2006/main" count="271" uniqueCount="213">
  <si>
    <t>Distribution Data</t>
  </si>
  <si>
    <t>Unit Price</t>
  </si>
  <si>
    <t>Extended Price</t>
  </si>
  <si>
    <t>Unit Taxable Amount</t>
  </si>
  <si>
    <t>Unit Tax</t>
  </si>
  <si>
    <t>Unit Non-Taxable Amount</t>
  </si>
  <si>
    <t>Extended Taxable Amount</t>
  </si>
  <si>
    <t>Extended Tax</t>
  </si>
  <si>
    <t>Extended Non-Taxable Amount</t>
  </si>
  <si>
    <t>Extended Depr. Amount</t>
  </si>
  <si>
    <t>Extended Non-Depr. Amount</t>
  </si>
  <si>
    <t>X</t>
  </si>
  <si>
    <t>Taxable Subtotal</t>
  </si>
  <si>
    <t>Non-Taxable Subtotal</t>
  </si>
  <si>
    <t>Subtotal</t>
  </si>
  <si>
    <t>Taxable Total</t>
  </si>
  <si>
    <t>GRAND TOTAL</t>
  </si>
  <si>
    <t>Depreciable Total</t>
  </si>
  <si>
    <t>Non-Depreciable Total</t>
  </si>
  <si>
    <t>Sales Tax Rate</t>
  </si>
  <si>
    <t>Total</t>
  </si>
  <si>
    <t>Description</t>
  </si>
  <si>
    <t>Month to Start</t>
  </si>
  <si>
    <t>^</t>
  </si>
  <si>
    <t>Enter</t>
  </si>
  <si>
    <t>Tax on Extended Depreciable</t>
  </si>
  <si>
    <t>Y</t>
  </si>
  <si>
    <t xml:space="preserve">Non-Taxable Total </t>
  </si>
  <si>
    <t>Depreciable Grand Total</t>
  </si>
  <si>
    <t>Non-Depreciable Grand Total</t>
  </si>
  <si>
    <t>Depreciable</t>
  </si>
  <si>
    <t>Tax</t>
  </si>
  <si>
    <t>N</t>
  </si>
  <si>
    <t>*
*
*</t>
  </si>
  <si>
    <t>DGS Fee (0 if none)</t>
  </si>
  <si>
    <t>DGS Fee</t>
  </si>
  <si>
    <t>Depreciable Tax &amp; DGS Fee Total</t>
  </si>
  <si>
    <t>Non-Depreciable Tax and DGS Fee Total</t>
  </si>
  <si>
    <t>Include Taxes and Fees in Depreciation</t>
  </si>
  <si>
    <t>DGS Fees on Extended Depreciable</t>
  </si>
  <si>
    <t>Calendar Year to Start</t>
  </si>
  <si>
    <t>Program Code</t>
  </si>
  <si>
    <t>Program Description</t>
  </si>
  <si>
    <t>Title IV-E Federal Costs ($)</t>
  </si>
  <si>
    <t>Other Federal Share of Costs ($)</t>
  </si>
  <si>
    <t>Other Federal Share of Costs (%)</t>
  </si>
  <si>
    <t>State/ County Share of Costs ($)</t>
  </si>
  <si>
    <t>State/ County Share of Costs (%)</t>
  </si>
  <si>
    <t>Title IV-E  Federal Costs (%)</t>
  </si>
  <si>
    <t>Title IV-E Discount (%)</t>
  </si>
  <si>
    <t>County Merit Personnel</t>
  </si>
  <si>
    <t>Hardware</t>
  </si>
  <si>
    <t>Software</t>
  </si>
  <si>
    <t>Training</t>
  </si>
  <si>
    <t>Overhead</t>
  </si>
  <si>
    <t>Supplies</t>
  </si>
  <si>
    <t>Other</t>
  </si>
  <si>
    <t>CMP</t>
  </si>
  <si>
    <t>CCS</t>
  </si>
  <si>
    <t>Sftw</t>
  </si>
  <si>
    <t>Hrdw</t>
  </si>
  <si>
    <t>Ovrhd</t>
  </si>
  <si>
    <t>Supp</t>
  </si>
  <si>
    <t>County Contract Services</t>
  </si>
  <si>
    <t>One Year</t>
  </si>
  <si>
    <t>Two Years</t>
  </si>
  <si>
    <t>Three Years</t>
  </si>
  <si>
    <t>Four Years</t>
  </si>
  <si>
    <t>Five Years</t>
  </si>
  <si>
    <t>Tax on Depr</t>
  </si>
  <si>
    <t>DGS on Depr</t>
  </si>
  <si>
    <t>Title IV-E</t>
  </si>
  <si>
    <t>TANF</t>
  </si>
  <si>
    <t>Title XIX</t>
  </si>
  <si>
    <t>Chaffee ILP</t>
  </si>
  <si>
    <t>T</t>
  </si>
  <si>
    <t>County:</t>
  </si>
  <si>
    <t>CWS/CMS %</t>
  </si>
  <si>
    <t>Date:</t>
  </si>
  <si>
    <t>State/County</t>
  </si>
  <si>
    <t>Baseline Program Code</t>
  </si>
  <si>
    <t>Selected Funding
Source</t>
  </si>
  <si>
    <t>P</t>
  </si>
  <si>
    <t>Baseline Funding Source</t>
  </si>
  <si>
    <t>CWS/CMS</t>
  </si>
  <si>
    <t>Funding Source Share of APD Costs (%)</t>
  </si>
  <si>
    <t>CWS/CMS Costs of APD:</t>
  </si>
  <si>
    <t>Non-CWS/CMS Costs of APD:</t>
  </si>
  <si>
    <t>Ver 7.00</t>
  </si>
  <si>
    <t>Non-CWS/CMS</t>
  </si>
  <si>
    <t>Qty</t>
  </si>
  <si>
    <t>Total CWS/CMS Costs</t>
  </si>
  <si>
    <t>DGS fee</t>
  </si>
  <si>
    <t xml:space="preserve">Depr </t>
  </si>
  <si>
    <t>Total APD Amount:</t>
  </si>
  <si>
    <t>Total CWS/CMS Amount:</t>
  </si>
  <si>
    <t>Total CWS/CMS Percent:</t>
  </si>
  <si>
    <t>Total Non-CWS/CMS Amount:</t>
  </si>
  <si>
    <t>Total Non-CWS/CMS Percent:</t>
  </si>
  <si>
    <t>Total Non-CWS/CMS Costs</t>
  </si>
  <si>
    <t>FC Ineligible:</t>
  </si>
  <si>
    <t>Adoptions Ineligible:</t>
  </si>
  <si>
    <t xml:space="preserve">
Title IV-E Federal Costs (%)</t>
  </si>
  <si>
    <t xml:space="preserve">
Title IV-E Federal Costs ($)</t>
  </si>
  <si>
    <t>CWS/CMS % for APD</t>
  </si>
  <si>
    <t>CWS/CMS Total Amount</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</si>
  <si>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</si>
  <si>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</si>
  <si>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</si>
  <si>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</si>
  <si>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</si>
  <si>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</si>
  <si>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</si>
  <si>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</si>
  <si>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</si>
  <si>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</si>
  <si>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</si>
  <si>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</si>
  <si>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</si>
  <si>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</si>
  <si>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</si>
  <si>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</si>
  <si>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</si>
  <si>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</si>
  <si>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</si>
  <si>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</si>
  <si>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</si>
  <si>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</si>
  <si>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</si>
  <si>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</si>
  <si>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</si>
  <si>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</si>
  <si>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</si>
  <si>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</si>
  <si>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</si>
  <si>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</si>
  <si>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</si>
  <si>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</si>
  <si>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</si>
  <si>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</si>
  <si>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</si>
  <si>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</si>
  <si>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</si>
  <si>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</si>
  <si>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</si>
  <si>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</si>
  <si>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</si>
  <si>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</si>
  <si>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</si>
  <si>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</si>
  <si>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</si>
  <si>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</si>
  <si>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</si>
  <si>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</si>
  <si>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</si>
  <si>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</si>
  <si>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</si>
  <si>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</si>
  <si>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</si>
  <si>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</si>
  <si>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</si>
  <si>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</si>
  <si>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</si>
  <si>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</si>
  <si>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APD#:</t>
  </si>
  <si>
    <t>CWS/CMS Amount</t>
  </si>
  <si>
    <t xml:space="preserve">Ctgy </t>
  </si>
  <si>
    <t>Laptops</t>
  </si>
  <si>
    <t>28-12397 APDU</t>
  </si>
  <si>
    <t>Adobe Acrobat</t>
  </si>
  <si>
    <t>Warranty HP Laserjet ENT 600 M602X Printer</t>
  </si>
  <si>
    <t>Warranty HP Laserjet P2055dn Printer</t>
  </si>
  <si>
    <t>Rollerball Mouse Pro2</t>
  </si>
  <si>
    <t>Goldtouch Standard USB Keyboard</t>
  </si>
  <si>
    <t>0071</t>
  </si>
  <si>
    <t>0371</t>
  </si>
  <si>
    <t>RELATIVE/NON-REL HOME APPRVL</t>
  </si>
  <si>
    <t xml:space="preserve">CWSOIP </t>
  </si>
  <si>
    <t>ADOPT CM</t>
  </si>
  <si>
    <t>FAMILY MAINTENANCE</t>
  </si>
  <si>
    <t xml:space="preserve">FAMILY REUNIFICATION </t>
  </si>
  <si>
    <t>PERMANENT PLACEMENT</t>
  </si>
  <si>
    <t xml:space="preserve">FAMILY MAINTENANCE </t>
  </si>
  <si>
    <t>EMERGENCY RESPONSE</t>
  </si>
  <si>
    <t>CWS TRAINING</t>
  </si>
  <si>
    <t xml:space="preserve">CWS NON-FEDERAL SERVICES </t>
  </si>
  <si>
    <t>COURT/EMERGENCY RESPONSE</t>
  </si>
  <si>
    <t>COURT/FAMILY MAINTENANCE</t>
  </si>
  <si>
    <t>COURT/FAMILY REUNIFICATION</t>
  </si>
  <si>
    <t>COURT/PERMANENT PLACEMENT</t>
  </si>
  <si>
    <t>CM - CWS/EMERGENCY RESPONSE</t>
  </si>
  <si>
    <t>CM - CWS/FAMILY MAINTENANCE</t>
  </si>
  <si>
    <t>CM - CWS/FAMILY REUNIFICATION</t>
  </si>
  <si>
    <t>CM - CWS/PERMANENT PLACEMENT</t>
  </si>
  <si>
    <t>Notification of Relatives</t>
  </si>
  <si>
    <t>FOSTER FAMILY LICENSING</t>
  </si>
  <si>
    <t>FPP - CASE MGMT: PREV SVCS</t>
  </si>
  <si>
    <t>IND.LIVING PRGRM-CASE MGMT</t>
  </si>
  <si>
    <t>ILP SERVICES</t>
  </si>
  <si>
    <t xml:space="preserve">EA CWS-ELIGIBILITY </t>
  </si>
  <si>
    <t>CWS LIVE SCAN</t>
  </si>
  <si>
    <t xml:space="preserve">AB 2129 PARENT RECRUITMENT </t>
  </si>
  <si>
    <t>EA-ER TRAINING</t>
  </si>
  <si>
    <t>EA-ER REFERRALS</t>
  </si>
  <si>
    <t>GROUP HOME VISITS</t>
  </si>
  <si>
    <t>GOMEZ v. SAENZ</t>
  </si>
  <si>
    <t>EFC HR</t>
  </si>
  <si>
    <t>EFC Trng</t>
  </si>
  <si>
    <t>EFC COURT RELATED</t>
  </si>
  <si>
    <t>EFC CM</t>
  </si>
  <si>
    <t>EFC Mo. Vis Grp Home</t>
  </si>
  <si>
    <t>Black/White Printer HP Laserjet ENT 600 M602X Printer</t>
  </si>
  <si>
    <t>Black/White Printer HP Laserjet P2055dn Printer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</si>
</sst>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8" formatCode="&quot;$&quot;#,##0.00_);[Red]\(&quot;$&quot;#,##0.00\)"/>
    <numFmt numFmtId="42" formatCode="_(&quot;$&quot;* #,##0_);_(&quot;$&quot;* \(#,##0\);_(&quot;$&quot;* &quot;-&quot;_);_(@_)"/>
    <numFmt numFmtId="44" formatCode="_(&quot;$&quot;* #,##0.00_);_(&quot;$&quot;* \(#,##0.00\);_(&quot;$&quot;* &quot;-&quot;??_);_(@_)"/>
    <numFmt numFmtId="164" formatCode="&quot;$&quot;#,##0.00"/>
    <numFmt numFmtId="165" formatCode="0.00#%"/>
    <numFmt numFmtId="166" formatCode="&quot;$&quot;#,##0"/>
    <numFmt numFmtId="168" formatCode="000"/>
    <numFmt numFmtId="170" formatCode="#"/>
    <numFmt numFmtId="171" formatCode="0.00000"/>
  </numFmts>
  <fonts count="34">
    <font>
      <sz val="10"/>
      <name val="Arial"/>
    </font>
    <font>
      <sz val="10"/>
      <name val="Arial"/>
      <family val="2"/>
    </font>
    <font>
      <b/>
      <sz val="10"/>
      <name val="Arial"/>
      <family val="2"/>
    </font>
    <font>
      <sz val="10"/>
      <name val="Arial"/>
      <family val="2"/>
    </font>
    <font>
      <b/>
      <i/>
      <sz val="10"/>
      <name val="Arial"/>
      <family val="2"/>
    </font>
    <font>
      <b/>
      <sz val="10"/>
      <color indexed="23"/>
      <name val="Arial"/>
      <family val="2"/>
    </font>
    <font>
      <sz val="10"/>
      <color indexed="23"/>
      <name val="Arial"/>
      <family val="2"/>
    </font>
    <font>
      <b/>
      <sz val="10"/>
      <color indexed="9"/>
      <name val="Arial"/>
      <family val="2"/>
    </font>
    <font>
      <b/>
      <sz val="14"/>
      <color indexed="10"/>
      <name val="Arial"/>
      <family val="2"/>
    </font>
    <font>
      <sz val="8"/>
      <name val="Arial"/>
      <family val="2"/>
    </font>
    <font>
      <b/>
      <sz val="8"/>
      <name val="Arial"/>
      <family val="2"/>
    </font>
    <font>
      <sz val="8"/>
      <name val="Arial"/>
      <family val="2"/>
    </font>
    <font>
      <b/>
      <sz val="10"/>
      <name val="Arial"/>
      <family val="2"/>
    </font>
    <font>
      <sz val="8"/>
      <name val="Arial (W1)"/>
    </font>
    <font>
      <sz val="12"/>
      <name val="Arial"/>
      <family val="2"/>
    </font>
    <font>
      <b/>
      <sz val="12"/>
      <name val="Arial"/>
      <family val="2"/>
    </font>
    <font>
      <sz val="10"/>
      <name val="Arial"/>
      <family val="2"/>
    </font>
    <font>
      <sz val="12"/>
      <name val="Arial"/>
      <family val="2"/>
    </font>
    <font>
      <sz val="8"/>
      <color indexed="81"/>
      <name val="Tahoma"/>
      <family val="2"/>
    </font>
    <font>
      <b/>
      <sz val="8"/>
      <color indexed="81"/>
      <name val="Tahoma"/>
      <family val="2"/>
    </font>
    <font>
      <sz val="10"/>
      <color indexed="9"/>
      <name val="Arial"/>
      <family val="2"/>
    </font>
    <font>
      <sz val="9"/>
      <color indexed="81"/>
      <name val="Tahoma"/>
      <family val="2"/>
    </font>
    <font>
      <sz val="7"/>
      <name val="Arial"/>
      <family val="2"/>
    </font>
    <font>
      <sz val="9"/>
      <color indexed="81"/>
      <name val="Arial"/>
      <family val="2"/>
    </font>
    <font>
      <sz val="8"/>
      <color indexed="81"/>
      <name val="Arial"/>
      <family val="2"/>
    </font>
    <font>
      <b/>
      <sz val="9"/>
      <color indexed="81"/>
      <name val="Arial"/>
      <family val="2"/>
    </font>
    <font>
      <b/>
      <sz val="9"/>
      <name val="Arial"/>
      <family val="2"/>
    </font>
    <font>
      <b/>
      <i/>
      <sz val="10"/>
      <color indexed="23"/>
      <name val="Arial"/>
      <family val="2"/>
    </font>
    <font>
      <sz val="10"/>
      <color indexed="8"/>
      <name val="Arial"/>
      <family val="2"/>
    </font>
    <font>
      <sz val="8"/>
      <color indexed="9"/>
      <name val="Arial (W1)"/>
    </font>
    <font>
      <b/>
      <sz val="8"/>
      <color indexed="9"/>
      <name val="Arial"/>
      <family val="2"/>
    </font>
    <font>
      <sz val="8"/>
      <color indexed="9"/>
      <name val="Arial"/>
      <family val="2"/>
    </font>
    <font>
      <sz val="10"/>
      <name val="Arial Narrow"/>
      <family val="2"/>
    </font>
    <font>
      <sz val="9"/>
      <name val="Calibri"/>
      <family val="2"/>
      <scheme val="minor"/>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92D050"/>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210">
    <xf numFmtId="0" fontId="0" fillId="0" borderId="0" xfId="0"/>
    <xf numFmtId="42" fontId="3" fillId="0" borderId="2" xfId="0" applyNumberFormat="1" applyFont="1" applyBorder="1" applyAlignment="1" applyProtection="1">
      <alignment vertical="center"/>
      <protection hidden="1"/>
    </xf>
    <xf numFmtId="0" fontId="3" fillId="0" borderId="2" xfId="0" applyFont="1" applyBorder="1" applyAlignment="1" applyProtection="1">
      <alignment vertical="center" wrapText="1"/>
      <protection hidden="1"/>
    </xf>
    <xf numFmtId="0" fontId="3" fillId="0" borderId="3" xfId="0" applyFont="1" applyFill="1" applyBorder="1" applyAlignment="1" applyProtection="1">
      <alignment horizontal="right" vertical="center" wrapText="1"/>
      <protection hidden="1"/>
    </xf>
    <xf numFmtId="164" fontId="6" fillId="0" borderId="2" xfId="0" applyNumberFormat="1" applyFont="1" applyFill="1" applyBorder="1" applyAlignment="1" applyProtection="1">
      <alignment horizontal="right" vertical="center" wrapText="1"/>
      <protection hidden="1"/>
    </xf>
    <xf numFmtId="164" fontId="6" fillId="0" borderId="2" xfId="0" applyNumberFormat="1" applyFont="1" applyFill="1" applyBorder="1" applyAlignment="1" applyProtection="1">
      <alignment vertical="center"/>
      <protection hidden="1"/>
    </xf>
    <xf numFmtId="164" fontId="3" fillId="0" borderId="0" xfId="0" applyNumberFormat="1" applyFont="1" applyFill="1" applyAlignment="1" applyProtection="1">
      <alignment vertical="center"/>
      <protection hidden="1"/>
    </xf>
    <xf numFmtId="10" fontId="3" fillId="0" borderId="2" xfId="0" applyNumberFormat="1" applyFont="1" applyBorder="1" applyAlignment="1" applyProtection="1">
      <alignment horizontal="center" vertical="center"/>
      <protection hidden="1"/>
    </xf>
    <xf numFmtId="10" fontId="3" fillId="0" borderId="2" xfId="0" applyNumberFormat="1" applyFont="1" applyFill="1" applyBorder="1" applyAlignment="1" applyProtection="1">
      <alignment horizontal="center" vertical="center"/>
      <protection hidden="1"/>
    </xf>
    <xf numFmtId="44" fontId="3" fillId="0" borderId="2" xfId="1" applyNumberFormat="1" applyFont="1" applyFill="1" applyBorder="1" applyAlignment="1" applyProtection="1">
      <alignment vertical="center"/>
      <protection hidden="1"/>
    </xf>
    <xf numFmtId="0" fontId="11" fillId="0" borderId="0" xfId="0" applyFont="1" applyBorder="1" applyAlignment="1" applyProtection="1">
      <protection locked="0"/>
    </xf>
    <xf numFmtId="10" fontId="3" fillId="0" borderId="0" xfId="0" applyNumberFormat="1" applyFont="1" applyFill="1" applyBorder="1" applyAlignment="1" applyProtection="1">
      <alignment horizontal="left" vertical="center"/>
      <protection locked="0"/>
    </xf>
    <xf numFmtId="44" fontId="3" fillId="0" borderId="4" xfId="1" applyNumberFormat="1" applyFont="1" applyFill="1" applyBorder="1" applyAlignment="1" applyProtection="1">
      <alignment vertical="center"/>
      <protection hidden="1"/>
    </xf>
    <xf numFmtId="44" fontId="2" fillId="0" borderId="2" xfId="1" applyNumberFormat="1" applyFont="1" applyFill="1" applyBorder="1" applyAlignment="1" applyProtection="1">
      <alignment vertical="center"/>
      <protection hidden="1"/>
    </xf>
    <xf numFmtId="10" fontId="3" fillId="0" borderId="2" xfId="1" applyNumberFormat="1" applyFont="1" applyFill="1" applyBorder="1" applyAlignment="1" applyProtection="1">
      <alignment vertical="center"/>
      <protection hidden="1"/>
    </xf>
    <xf numFmtId="0" fontId="3" fillId="0" borderId="2" xfId="0" applyFont="1" applyFill="1" applyBorder="1" applyAlignment="1" applyProtection="1">
      <alignment horizontal="right" vertical="center" wrapText="1"/>
      <protection hidden="1"/>
    </xf>
    <xf numFmtId="0" fontId="0" fillId="0" borderId="0" xfId="0" applyAlignment="1" applyProtection="1">
      <alignment vertical="center"/>
      <protection locked="0"/>
    </xf>
    <xf numFmtId="0" fontId="11" fillId="0" borderId="0" xfId="0" applyFont="1" applyBorder="1" applyAlignment="1" applyProtection="1">
      <alignment horizontal="left"/>
      <protection hidden="1"/>
    </xf>
    <xf numFmtId="0" fontId="14" fillId="0" borderId="0" xfId="0" applyFont="1" applyAlignment="1" applyProtection="1">
      <alignment vertical="center"/>
      <protection locked="0"/>
    </xf>
    <xf numFmtId="0" fontId="12" fillId="0" borderId="0" xfId="0" applyFont="1" applyAlignment="1" applyProtection="1">
      <alignment horizontal="right" vertical="center"/>
      <protection locked="0"/>
    </xf>
    <xf numFmtId="0" fontId="12" fillId="0" borderId="0" xfId="0" applyFont="1" applyBorder="1" applyAlignment="1" applyProtection="1">
      <alignment horizontal="right" vertical="center"/>
      <protection locked="0"/>
    </xf>
    <xf numFmtId="0" fontId="16" fillId="0" borderId="0" xfId="0" applyFont="1" applyBorder="1" applyAlignment="1" applyProtection="1">
      <alignment vertical="center"/>
      <protection locked="0"/>
    </xf>
    <xf numFmtId="170" fontId="12" fillId="0" borderId="0" xfId="0" applyNumberFormat="1" applyFont="1" applyFill="1" applyBorder="1" applyAlignment="1" applyProtection="1">
      <alignment vertical="center"/>
      <protection locked="0"/>
    </xf>
    <xf numFmtId="0" fontId="16" fillId="0" borderId="0" xfId="0" applyFont="1" applyAlignment="1" applyProtection="1">
      <alignment vertical="center"/>
      <protection locked="0"/>
    </xf>
    <xf numFmtId="0" fontId="14" fillId="0" borderId="0" xfId="0" applyFont="1" applyBorder="1" applyAlignment="1" applyProtection="1">
      <alignment vertical="center"/>
      <protection locked="0"/>
    </xf>
    <xf numFmtId="166" fontId="28" fillId="0" borderId="0" xfId="0" applyNumberFormat="1" applyFont="1" applyFill="1" applyAlignment="1" applyProtection="1">
      <alignment vertical="center"/>
      <protection locked="0"/>
    </xf>
    <xf numFmtId="0" fontId="2" fillId="0" borderId="0" xfId="0" applyFont="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vertical="center"/>
      <protection locked="0"/>
    </xf>
    <xf numFmtId="166" fontId="2" fillId="0" borderId="0" xfId="0" applyNumberFormat="1" applyFont="1" applyAlignment="1" applyProtection="1">
      <alignment horizontal="center" vertical="center"/>
      <protection locked="0"/>
    </xf>
    <xf numFmtId="0" fontId="30"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10" fontId="3" fillId="0" borderId="2" xfId="0" applyNumberFormat="1" applyFont="1" applyBorder="1" applyAlignment="1" applyProtection="1">
      <alignment horizontal="center" vertical="center"/>
      <protection locked="0"/>
    </xf>
    <xf numFmtId="10" fontId="3" fillId="0" borderId="2" xfId="0" applyNumberFormat="1" applyFont="1" applyFill="1" applyBorder="1" applyAlignment="1" applyProtection="1">
      <alignment horizontal="center" vertical="center"/>
      <protection locked="0"/>
    </xf>
    <xf numFmtId="0" fontId="3" fillId="2" borderId="2" xfId="0" applyFont="1" applyFill="1" applyBorder="1" applyAlignment="1" applyProtection="1">
      <alignment vertical="center"/>
      <protection locked="0"/>
    </xf>
    <xf numFmtId="0" fontId="20" fillId="0" borderId="0" xfId="0" applyFont="1" applyBorder="1" applyAlignment="1" applyProtection="1">
      <alignment horizontal="center" vertical="center"/>
      <protection locked="0"/>
    </xf>
    <xf numFmtId="0" fontId="20" fillId="0" borderId="0" xfId="0" applyFont="1" applyBorder="1" applyAlignment="1" applyProtection="1">
      <alignment vertical="center"/>
      <protection locked="0"/>
    </xf>
    <xf numFmtId="0" fontId="16" fillId="0" borderId="0" xfId="0" applyFont="1" applyAlignment="1" applyProtection="1">
      <alignment horizontal="right" vertical="center"/>
      <protection locked="0"/>
    </xf>
    <xf numFmtId="0" fontId="12" fillId="0" borderId="0" xfId="0" applyFont="1" applyAlignment="1" applyProtection="1">
      <alignment vertical="center"/>
      <protection locked="0"/>
    </xf>
    <xf numFmtId="166" fontId="0" fillId="0" borderId="0" xfId="0" applyNumberFormat="1" applyAlignment="1" applyProtection="1">
      <alignment vertical="center"/>
      <protection locked="0"/>
    </xf>
    <xf numFmtId="0" fontId="10" fillId="0" borderId="0" xfId="0" applyFont="1" applyBorder="1" applyAlignment="1" applyProtection="1">
      <alignment horizontal="center" vertical="center" wrapText="1"/>
      <protection locked="0"/>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11" fillId="0" borderId="0" xfId="0" applyFont="1" applyAlignment="1" applyProtection="1">
      <alignment vertical="center"/>
      <protection locked="0"/>
    </xf>
    <xf numFmtId="0" fontId="11" fillId="0" borderId="0" xfId="0" applyFont="1" applyBorder="1" applyAlignment="1" applyProtection="1">
      <alignment vertical="center"/>
      <protection locked="0"/>
    </xf>
    <xf numFmtId="0" fontId="3" fillId="0" borderId="2"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11" fillId="0" borderId="0" xfId="0" applyFont="1" applyBorder="1" applyAlignment="1" applyProtection="1">
      <alignment horizontal="left"/>
      <protection locked="0"/>
    </xf>
    <xf numFmtId="0" fontId="3" fillId="0" borderId="0" xfId="0" applyFont="1" applyBorder="1" applyAlignment="1" applyProtection="1">
      <alignment vertical="center" wrapText="1"/>
      <protection locked="0"/>
    </xf>
    <xf numFmtId="0" fontId="9" fillId="0" borderId="0" xfId="0" applyFont="1" applyBorder="1" applyAlignment="1" applyProtection="1">
      <alignment vertical="center"/>
      <protection locked="0"/>
    </xf>
    <xf numFmtId="10" fontId="11" fillId="0" borderId="0" xfId="0" applyNumberFormat="1" applyFont="1" applyBorder="1" applyAlignment="1" applyProtection="1">
      <alignment horizontal="center" vertical="center"/>
      <protection locked="0"/>
    </xf>
    <xf numFmtId="10" fontId="11" fillId="0" borderId="0" xfId="4" applyNumberFormat="1" applyFont="1" applyBorder="1" applyAlignment="1" applyProtection="1">
      <alignment horizontal="center" vertical="center"/>
      <protection locked="0"/>
    </xf>
    <xf numFmtId="0" fontId="10" fillId="0" borderId="0" xfId="0" applyFont="1" applyBorder="1" applyAlignment="1" applyProtection="1">
      <alignment vertical="center"/>
      <protection locked="0"/>
    </xf>
    <xf numFmtId="0" fontId="9"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vertical="center" wrapText="1"/>
      <protection locked="0"/>
    </xf>
    <xf numFmtId="0" fontId="3" fillId="0" borderId="0" xfId="0" applyFont="1" applyFill="1" applyAlignment="1" applyProtection="1">
      <alignment horizontal="center" vertical="center"/>
      <protection locked="0"/>
    </xf>
    <xf numFmtId="0" fontId="2" fillId="0" borderId="0" xfId="0" applyFont="1" applyFill="1" applyAlignment="1" applyProtection="1">
      <alignment vertical="center"/>
      <protection locked="0"/>
    </xf>
    <xf numFmtId="0" fontId="0" fillId="0" borderId="0" xfId="0" applyFill="1" applyProtection="1">
      <protection locked="0"/>
    </xf>
    <xf numFmtId="0" fontId="17" fillId="0" borderId="0" xfId="0" applyFont="1" applyFill="1" applyAlignment="1" applyProtection="1">
      <alignment vertical="center"/>
      <protection locked="0"/>
    </xf>
    <xf numFmtId="0" fontId="17" fillId="0" borderId="0" xfId="0" applyFont="1" applyFill="1" applyAlignment="1" applyProtection="1">
      <alignment vertical="center" wrapText="1"/>
      <protection locked="0"/>
    </xf>
    <xf numFmtId="0" fontId="2" fillId="0" borderId="0" xfId="0" applyFont="1" applyFill="1" applyBorder="1" applyAlignment="1" applyProtection="1">
      <protection locked="0"/>
    </xf>
    <xf numFmtId="49" fontId="2" fillId="0" borderId="0" xfId="0" applyNumberFormat="1" applyFont="1" applyFill="1" applyBorder="1" applyAlignment="1" applyProtection="1">
      <protection locked="0"/>
    </xf>
    <xf numFmtId="49" fontId="2" fillId="0" borderId="0" xfId="0" applyNumberFormat="1" applyFont="1" applyFill="1" applyBorder="1" applyAlignment="1" applyProtection="1">
      <alignment horizontal="left"/>
      <protection locked="0"/>
    </xf>
    <xf numFmtId="44" fontId="2" fillId="0" borderId="0" xfId="0" applyNumberFormat="1" applyFont="1" applyFill="1" applyAlignment="1" applyProtection="1">
      <alignment horizontal="right"/>
      <protection locked="0"/>
    </xf>
    <xf numFmtId="14" fontId="2" fillId="0" borderId="0" xfId="0" applyNumberFormat="1" applyFont="1" applyFill="1" applyBorder="1" applyAlignment="1" applyProtection="1">
      <alignment horizontal="left"/>
      <protection locked="0"/>
    </xf>
    <xf numFmtId="0" fontId="15" fillId="0" borderId="0" xfId="0" applyFont="1" applyFill="1" applyAlignment="1" applyProtection="1">
      <alignment vertical="center"/>
      <protection locked="0"/>
    </xf>
    <xf numFmtId="0" fontId="17" fillId="0" borderId="0" xfId="0" applyFont="1" applyFill="1" applyAlignment="1" applyProtection="1">
      <alignment horizontal="center" vertical="center"/>
      <protection locked="0"/>
    </xf>
    <xf numFmtId="0" fontId="17" fillId="0" borderId="0" xfId="0" applyFont="1" applyFill="1" applyProtection="1">
      <protection locked="0"/>
    </xf>
    <xf numFmtId="49" fontId="2" fillId="0" borderId="0" xfId="0" applyNumberFormat="1" applyFont="1" applyFill="1" applyBorder="1" applyAlignment="1" applyProtection="1">
      <alignment horizontal="center"/>
      <protection locked="0"/>
    </xf>
    <xf numFmtId="14" fontId="2" fillId="0" borderId="0" xfId="0" applyNumberFormat="1" applyFont="1" applyFill="1" applyBorder="1" applyAlignment="1" applyProtection="1">
      <alignment horizontal="center"/>
      <protection locked="0"/>
    </xf>
    <xf numFmtId="0" fontId="3" fillId="0" borderId="0" xfId="0" applyFont="1" applyFill="1" applyBorder="1" applyAlignment="1" applyProtection="1">
      <alignment vertical="center"/>
      <protection locked="0"/>
    </xf>
    <xf numFmtId="0" fontId="10" fillId="2" borderId="2" xfId="3" applyFont="1" applyFill="1" applyBorder="1" applyAlignment="1" applyProtection="1">
      <alignment horizontal="center" vertical="center" wrapText="1"/>
      <protection locked="0"/>
    </xf>
    <xf numFmtId="0" fontId="26" fillId="2" borderId="2" xfId="3" applyFont="1" applyFill="1" applyBorder="1" applyAlignment="1" applyProtection="1">
      <alignment horizontal="center" vertical="center" wrapText="1"/>
      <protection locked="0"/>
    </xf>
    <xf numFmtId="0" fontId="26" fillId="2" borderId="2" xfId="3" applyFont="1" applyFill="1" applyBorder="1" applyAlignment="1" applyProtection="1">
      <alignment horizontal="center" vertical="center"/>
      <protection locked="0"/>
    </xf>
    <xf numFmtId="44" fontId="26" fillId="2" borderId="2" xfId="3"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wrapText="1"/>
      <protection locked="0"/>
    </xf>
    <xf numFmtId="0" fontId="0" fillId="0" borderId="0" xfId="0" applyFill="1" applyBorder="1" applyProtection="1">
      <protection locked="0"/>
    </xf>
    <xf numFmtId="0" fontId="3" fillId="0" borderId="5" xfId="0"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7" fillId="0" borderId="0" xfId="3" applyFont="1" applyFill="1" applyBorder="1" applyAlignment="1" applyProtection="1">
      <alignment horizontal="center" vertical="center" wrapText="1"/>
      <protection locked="0"/>
    </xf>
    <xf numFmtId="0" fontId="7" fillId="0" borderId="0" xfId="3" applyFont="1" applyFill="1" applyBorder="1" applyAlignment="1" applyProtection="1">
      <alignment horizontal="center" vertical="center"/>
      <protection locked="0"/>
    </xf>
    <xf numFmtId="44" fontId="20" fillId="0" borderId="0" xfId="3" applyNumberFormat="1" applyFont="1" applyFill="1" applyBorder="1" applyAlignment="1" applyProtection="1">
      <alignment horizontal="center" vertical="center"/>
      <protection locked="0"/>
    </xf>
    <xf numFmtId="44" fontId="7" fillId="0" borderId="4" xfId="3" applyNumberFormat="1" applyFont="1" applyFill="1" applyBorder="1" applyAlignment="1" applyProtection="1">
      <alignment horizontal="center" vertical="center"/>
      <protection locked="0"/>
    </xf>
    <xf numFmtId="0" fontId="22" fillId="0" borderId="5" xfId="0" applyFont="1" applyFill="1" applyBorder="1" applyAlignment="1" applyProtection="1">
      <alignment vertical="center" wrapText="1"/>
      <protection locked="0"/>
    </xf>
    <xf numFmtId="0" fontId="7" fillId="0" borderId="6" xfId="3" applyFont="1" applyFill="1" applyBorder="1" applyAlignment="1" applyProtection="1">
      <alignment horizontal="center" vertical="center" wrapText="1"/>
      <protection locked="0"/>
    </xf>
    <xf numFmtId="0" fontId="7" fillId="0" borderId="6" xfId="3" applyFont="1" applyFill="1" applyBorder="1" applyAlignment="1" applyProtection="1">
      <alignment horizontal="center" vertical="center"/>
      <protection locked="0"/>
    </xf>
    <xf numFmtId="0" fontId="2" fillId="2" borderId="2" xfId="0" applyFont="1" applyFill="1" applyBorder="1" applyAlignment="1" applyProtection="1">
      <alignment horizontal="justify" wrapText="1"/>
      <protection locked="0"/>
    </xf>
    <xf numFmtId="44" fontId="20" fillId="0" borderId="3" xfId="3" applyNumberFormat="1" applyFont="1" applyFill="1" applyBorder="1" applyAlignment="1" applyProtection="1">
      <alignment horizontal="center" vertical="center"/>
      <protection locked="0"/>
    </xf>
    <xf numFmtId="44" fontId="7" fillId="0" borderId="7" xfId="3" applyNumberFormat="1" applyFont="1" applyFill="1" applyBorder="1" applyAlignment="1" applyProtection="1">
      <alignment horizontal="center" vertical="center"/>
      <protection locked="0"/>
    </xf>
    <xf numFmtId="164" fontId="6" fillId="0" borderId="6" xfId="0" applyNumberFormat="1" applyFont="1" applyFill="1" applyBorder="1" applyAlignment="1" applyProtection="1">
      <alignment horizontal="right" vertical="center" wrapText="1"/>
      <protection locked="0"/>
    </xf>
    <xf numFmtId="164" fontId="6" fillId="0" borderId="6" xfId="0" applyNumberFormat="1" applyFont="1" applyFill="1" applyBorder="1" applyAlignment="1" applyProtection="1">
      <alignment vertical="center"/>
      <protection locked="0"/>
    </xf>
    <xf numFmtId="164" fontId="6" fillId="0" borderId="0" xfId="0" applyNumberFormat="1" applyFont="1" applyFill="1" applyBorder="1" applyAlignment="1" applyProtection="1">
      <alignment vertical="center"/>
      <protection locked="0"/>
    </xf>
    <xf numFmtId="0" fontId="3" fillId="0" borderId="8"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wrapText="1"/>
      <protection locked="0"/>
    </xf>
    <xf numFmtId="44" fontId="3" fillId="0" borderId="2" xfId="0" applyNumberFormat="1" applyFont="1" applyBorder="1" applyAlignment="1" applyProtection="1">
      <alignment vertical="center"/>
      <protection locked="0"/>
    </xf>
    <xf numFmtId="44" fontId="3" fillId="0" borderId="2" xfId="1" applyNumberFormat="1" applyFont="1" applyFill="1" applyBorder="1" applyAlignment="1" applyProtection="1">
      <alignment vertical="center"/>
      <protection locked="0"/>
    </xf>
    <xf numFmtId="164" fontId="6" fillId="0" borderId="2" xfId="0" applyNumberFormat="1" applyFont="1" applyFill="1" applyBorder="1" applyAlignment="1" applyProtection="1">
      <alignment horizontal="right" vertical="center" wrapText="1"/>
      <protection locked="0"/>
    </xf>
    <xf numFmtId="164" fontId="6" fillId="0" borderId="2" xfId="0" applyNumberFormat="1" applyFont="1" applyFill="1" applyBorder="1" applyAlignment="1" applyProtection="1">
      <alignment vertical="center"/>
      <protection locked="0"/>
    </xf>
    <xf numFmtId="0" fontId="3" fillId="0" borderId="9"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right" vertical="center" wrapText="1"/>
      <protection locked="0"/>
    </xf>
    <xf numFmtId="164" fontId="6" fillId="0" borderId="9" xfId="0" applyNumberFormat="1" applyFont="1" applyFill="1" applyBorder="1" applyAlignment="1" applyProtection="1">
      <alignment horizontal="right" vertical="center" wrapText="1"/>
      <protection locked="0"/>
    </xf>
    <xf numFmtId="164" fontId="6" fillId="0" borderId="9" xfId="0" applyNumberFormat="1" applyFont="1" applyFill="1" applyBorder="1" applyAlignment="1" applyProtection="1">
      <alignment vertical="center"/>
      <protection locked="0"/>
    </xf>
    <xf numFmtId="164" fontId="6" fillId="0" borderId="0" xfId="0" applyNumberFormat="1" applyFont="1" applyFill="1" applyBorder="1" applyAlignment="1" applyProtection="1">
      <alignment horizontal="right" vertical="center" wrapText="1"/>
      <protection locked="0"/>
    </xf>
    <xf numFmtId="0" fontId="7" fillId="0" borderId="3" xfId="3" applyFont="1" applyFill="1" applyBorder="1" applyAlignment="1" applyProtection="1">
      <alignment horizontal="center" vertical="center"/>
      <protection locked="0"/>
    </xf>
    <xf numFmtId="0" fontId="3" fillId="0" borderId="3" xfId="0" applyFont="1" applyFill="1" applyBorder="1" applyAlignment="1" applyProtection="1">
      <alignment horizontal="right" vertical="center" wrapText="1"/>
      <protection locked="0"/>
    </xf>
    <xf numFmtId="44" fontId="7" fillId="0" borderId="9" xfId="3" applyNumberFormat="1" applyFont="1" applyFill="1" applyBorder="1" applyAlignment="1" applyProtection="1">
      <alignment horizontal="center" vertical="center"/>
      <protection locked="0"/>
    </xf>
    <xf numFmtId="0" fontId="2" fillId="2" borderId="2" xfId="0" applyFont="1" applyFill="1" applyBorder="1" applyAlignment="1" applyProtection="1">
      <alignment horizontal="justify" vertical="center" wrapText="1"/>
      <protection locked="0"/>
    </xf>
    <xf numFmtId="0" fontId="27" fillId="0" borderId="0" xfId="0" applyFont="1" applyFill="1" applyBorder="1" applyAlignment="1" applyProtection="1">
      <alignment horizontal="right" vertical="center"/>
      <protection locked="0"/>
    </xf>
    <xf numFmtId="0" fontId="27"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justify" vertical="center" wrapText="1"/>
      <protection locked="0"/>
    </xf>
    <xf numFmtId="44" fontId="3" fillId="0" borderId="8" xfId="0" applyNumberFormat="1" applyFont="1" applyFill="1" applyBorder="1" applyAlignment="1" applyProtection="1">
      <alignment horizontal="right" vertical="center" wrapText="1"/>
      <protection locked="0"/>
    </xf>
    <xf numFmtId="0" fontId="20" fillId="0" borderId="0" xfId="0" applyFont="1" applyFill="1" applyAlignment="1" applyProtection="1">
      <alignment vertical="center"/>
      <protection locked="0"/>
    </xf>
    <xf numFmtId="0" fontId="3" fillId="0" borderId="10" xfId="0" applyFont="1" applyFill="1" applyBorder="1" applyAlignment="1" applyProtection="1">
      <alignment horizontal="right" vertical="center" wrapText="1"/>
      <protection locked="0"/>
    </xf>
    <xf numFmtId="44" fontId="3" fillId="0" borderId="10" xfId="1" applyNumberFormat="1" applyFont="1" applyFill="1" applyBorder="1" applyAlignment="1" applyProtection="1">
      <alignment vertical="center"/>
      <protection locked="0"/>
    </xf>
    <xf numFmtId="164" fontId="2" fillId="0" borderId="0" xfId="0" applyNumberFormat="1" applyFont="1" applyFill="1" applyBorder="1" applyAlignment="1" applyProtection="1">
      <alignment horizontal="center" vertical="center"/>
      <protection locked="0"/>
    </xf>
    <xf numFmtId="164" fontId="2" fillId="0" borderId="2" xfId="0" applyNumberFormat="1" applyFont="1" applyFill="1" applyBorder="1" applyAlignment="1" applyProtection="1">
      <alignment horizontal="center" vertical="center" wrapText="1"/>
      <protection locked="0"/>
    </xf>
    <xf numFmtId="164" fontId="2" fillId="0" borderId="0" xfId="0" applyNumberFormat="1" applyFont="1" applyFill="1" applyBorder="1" applyAlignment="1" applyProtection="1">
      <alignment horizontal="center" vertical="center" wrapText="1"/>
      <protection locked="0"/>
    </xf>
    <xf numFmtId="8" fontId="3" fillId="0" borderId="0" xfId="0" applyNumberFormat="1" applyFont="1" applyFill="1" applyBorder="1" applyAlignment="1" applyProtection="1">
      <alignment horizontal="center" vertical="center"/>
      <protection locked="0"/>
    </xf>
    <xf numFmtId="44" fontId="3" fillId="0" borderId="2" xfId="0" applyNumberFormat="1" applyFont="1" applyFill="1" applyBorder="1" applyAlignment="1" applyProtection="1">
      <alignment horizontal="center" vertical="center" wrapText="1"/>
      <protection locked="0"/>
    </xf>
    <xf numFmtId="0" fontId="2" fillId="0" borderId="3" xfId="0" applyFont="1" applyFill="1" applyBorder="1" applyAlignment="1" applyProtection="1">
      <alignment horizontal="right" vertical="center" wrapText="1"/>
      <protection locked="0"/>
    </xf>
    <xf numFmtId="44" fontId="2" fillId="0" borderId="2" xfId="1" applyNumberFormat="1" applyFont="1" applyFill="1" applyBorder="1" applyAlignment="1" applyProtection="1">
      <alignment vertical="center"/>
      <protection locked="0"/>
    </xf>
    <xf numFmtId="0" fontId="6" fillId="0" borderId="2" xfId="0" applyFont="1" applyFill="1" applyBorder="1" applyAlignment="1" applyProtection="1">
      <alignment vertical="center"/>
      <protection locked="0"/>
    </xf>
    <xf numFmtId="164" fontId="2" fillId="0" borderId="2"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2" fillId="0" borderId="2" xfId="0" applyFont="1" applyFill="1" applyBorder="1" applyAlignment="1" applyProtection="1">
      <alignment horizontal="right" vertical="center" wrapText="1"/>
      <protection locked="0"/>
    </xf>
    <xf numFmtId="0" fontId="3" fillId="0" borderId="3" xfId="0" applyFont="1" applyFill="1" applyBorder="1" applyAlignment="1" applyProtection="1">
      <alignment vertical="center"/>
      <protection locked="0"/>
    </xf>
    <xf numFmtId="44" fontId="3" fillId="0" borderId="8" xfId="0" applyNumberFormat="1" applyFont="1" applyFill="1" applyBorder="1" applyAlignment="1" applyProtection="1">
      <alignment vertical="center"/>
      <protection locked="0"/>
    </xf>
    <xf numFmtId="44" fontId="3" fillId="0" borderId="4" xfId="0" applyNumberFormat="1" applyFont="1" applyFill="1" applyBorder="1" applyAlignment="1" applyProtection="1">
      <alignment vertical="center"/>
      <protection locked="0"/>
    </xf>
    <xf numFmtId="0" fontId="3" fillId="0" borderId="0" xfId="0" applyFont="1" applyFill="1" applyAlignment="1" applyProtection="1">
      <alignment horizontal="right" vertical="center"/>
      <protection locked="0"/>
    </xf>
    <xf numFmtId="165" fontId="3" fillId="0" borderId="2" xfId="4" applyNumberFormat="1" applyFont="1" applyFill="1" applyBorder="1" applyAlignment="1" applyProtection="1">
      <alignment horizontal="center" vertical="center"/>
      <protection locked="0"/>
    </xf>
    <xf numFmtId="44" fontId="3" fillId="0" borderId="2" xfId="0" applyNumberFormat="1" applyFont="1" applyFill="1" applyBorder="1" applyAlignment="1" applyProtection="1">
      <alignment vertical="center"/>
      <protection locked="0"/>
    </xf>
    <xf numFmtId="164" fontId="3" fillId="0" borderId="0" xfId="0" applyNumberFormat="1" applyFont="1" applyFill="1" applyAlignment="1" applyProtection="1">
      <alignment vertical="center"/>
      <protection locked="0"/>
    </xf>
    <xf numFmtId="164" fontId="2" fillId="0" borderId="0" xfId="0" applyNumberFormat="1" applyFont="1" applyFill="1" applyAlignment="1" applyProtection="1">
      <alignment vertical="center"/>
      <protection locked="0"/>
    </xf>
    <xf numFmtId="10" fontId="3" fillId="0" borderId="2" xfId="4" applyNumberFormat="1" applyFont="1" applyFill="1" applyBorder="1" applyAlignment="1" applyProtection="1">
      <alignment horizontal="center" vertical="center"/>
      <protection locked="0"/>
    </xf>
    <xf numFmtId="0" fontId="3" fillId="0" borderId="2" xfId="0" applyFont="1" applyFill="1" applyBorder="1" applyAlignment="1" applyProtection="1">
      <alignment horizontal="right" vertical="center"/>
      <protection locked="0"/>
    </xf>
    <xf numFmtId="44" fontId="3" fillId="0" borderId="2" xfId="0" applyNumberFormat="1" applyFont="1" applyFill="1" applyBorder="1" applyAlignment="1" applyProtection="1">
      <alignment horizontal="center" vertical="center"/>
      <protection locked="0"/>
    </xf>
    <xf numFmtId="0" fontId="3" fillId="0" borderId="11" xfId="0" applyFont="1" applyFill="1" applyBorder="1" applyAlignment="1" applyProtection="1">
      <alignment vertical="center"/>
      <protection locked="0"/>
    </xf>
    <xf numFmtId="0" fontId="3" fillId="0" borderId="6" xfId="0" applyFont="1" applyFill="1" applyBorder="1" applyAlignment="1" applyProtection="1">
      <alignment horizontal="center" vertical="center"/>
      <protection locked="0"/>
    </xf>
    <xf numFmtId="0" fontId="20" fillId="0" borderId="0" xfId="0" applyFont="1" applyFill="1" applyAlignment="1" applyProtection="1">
      <alignment horizontal="center" vertical="center"/>
      <protection locked="0"/>
    </xf>
    <xf numFmtId="44" fontId="20" fillId="0" borderId="0" xfId="0" applyNumberFormat="1" applyFont="1" applyFill="1" applyAlignment="1" applyProtection="1">
      <alignment vertical="center"/>
      <protection locked="0"/>
    </xf>
    <xf numFmtId="44" fontId="3" fillId="0" borderId="0" xfId="0" applyNumberFormat="1" applyFont="1" applyFill="1" applyAlignment="1" applyProtection="1">
      <alignment vertical="center"/>
      <protection locked="0"/>
    </xf>
    <xf numFmtId="0" fontId="29" fillId="0" borderId="0" xfId="0" applyFont="1" applyFill="1" applyBorder="1" applyAlignment="1" applyProtection="1">
      <alignment vertical="top" wrapText="1"/>
      <protection locked="0"/>
    </xf>
    <xf numFmtId="0" fontId="13" fillId="0" borderId="0" xfId="0" applyFont="1" applyFill="1" applyBorder="1" applyAlignment="1" applyProtection="1">
      <alignment vertical="top" wrapText="1"/>
      <protection locked="0"/>
    </xf>
    <xf numFmtId="0" fontId="8" fillId="0" borderId="0" xfId="0" applyFont="1" applyFill="1" applyAlignment="1" applyProtection="1">
      <alignment vertical="center"/>
      <protection locked="0"/>
    </xf>
    <xf numFmtId="0" fontId="9" fillId="0" borderId="0" xfId="0" applyFont="1" applyBorder="1" applyAlignment="1" applyProtection="1">
      <alignment horizontal="left"/>
      <protection locked="0"/>
    </xf>
    <xf numFmtId="0" fontId="20" fillId="0" borderId="0" xfId="0" applyFont="1" applyAlignment="1" applyProtection="1">
      <alignment vertical="center"/>
      <protection locked="0"/>
    </xf>
    <xf numFmtId="0" fontId="31" fillId="0" borderId="0" xfId="0" applyFont="1" applyAlignment="1" applyProtection="1">
      <alignment vertical="center"/>
      <protection locked="0"/>
    </xf>
    <xf numFmtId="49" fontId="2" fillId="0" borderId="0" xfId="0" applyNumberFormat="1" applyFont="1" applyFill="1" applyBorder="1" applyAlignment="1" applyProtection="1">
      <alignment horizontal="left" vertical="center"/>
      <protection locked="0"/>
    </xf>
    <xf numFmtId="42" fontId="2" fillId="0" borderId="2" xfId="0" applyNumberFormat="1" applyFont="1" applyBorder="1" applyAlignment="1" applyProtection="1">
      <alignment vertical="center"/>
      <protection hidden="1"/>
    </xf>
    <xf numFmtId="10" fontId="3" fillId="2" borderId="2" xfId="4" applyNumberFormat="1" applyFont="1" applyFill="1" applyBorder="1" applyAlignment="1" applyProtection="1">
      <alignment horizontal="center" vertical="center"/>
      <protection locked="0"/>
    </xf>
    <xf numFmtId="0" fontId="10" fillId="0" borderId="2" xfId="0" applyFont="1" applyBorder="1" applyAlignment="1" applyProtection="1">
      <alignment horizontal="center" vertical="center" wrapText="1"/>
      <protection hidden="1"/>
    </xf>
    <xf numFmtId="0" fontId="10" fillId="0" borderId="2" xfId="0" applyFont="1" applyBorder="1" applyAlignment="1" applyProtection="1">
      <alignment horizontal="center" vertical="center" wrapText="1"/>
      <protection locked="0"/>
    </xf>
    <xf numFmtId="168" fontId="3" fillId="0" borderId="2" xfId="0" applyNumberFormat="1" applyFont="1" applyFill="1" applyBorder="1" applyAlignment="1" applyProtection="1">
      <alignment horizontal="center" vertical="center"/>
      <protection locked="0"/>
    </xf>
    <xf numFmtId="168" fontId="3" fillId="0" borderId="2" xfId="0" quotePrefix="1" applyNumberFormat="1" applyFont="1" applyFill="1" applyBorder="1" applyAlignment="1" applyProtection="1">
      <alignment horizontal="center" vertical="center"/>
      <protection locked="0"/>
    </xf>
    <xf numFmtId="10" fontId="2" fillId="0" borderId="2" xfId="0" applyNumberFormat="1" applyFont="1" applyBorder="1" applyAlignment="1" applyProtection="1">
      <alignment horizontal="center" vertical="center"/>
      <protection hidden="1"/>
    </xf>
    <xf numFmtId="10" fontId="2" fillId="0" borderId="2" xfId="0" applyNumberFormat="1" applyFont="1" applyBorder="1" applyAlignment="1" applyProtection="1">
      <alignment horizontal="center" vertical="center"/>
      <protection locked="0"/>
    </xf>
    <xf numFmtId="10" fontId="2" fillId="0" borderId="2" xfId="0" applyNumberFormat="1" applyFont="1" applyFill="1" applyBorder="1" applyAlignment="1" applyProtection="1">
      <alignment horizontal="center" vertical="center"/>
      <protection locked="0"/>
    </xf>
    <xf numFmtId="168" fontId="3" fillId="0" borderId="2" xfId="0" applyNumberFormat="1" applyFont="1" applyBorder="1" applyAlignment="1" applyProtection="1">
      <alignment horizontal="center" vertical="center"/>
      <protection locked="0"/>
    </xf>
    <xf numFmtId="0" fontId="2" fillId="2" borderId="2" xfId="0" applyFont="1" applyFill="1" applyBorder="1" applyAlignment="1" applyProtection="1">
      <alignment vertical="center"/>
      <protection locked="0"/>
    </xf>
    <xf numFmtId="44" fontId="3" fillId="0" borderId="10" xfId="1" applyNumberFormat="1" applyFont="1" applyFill="1" applyBorder="1" applyAlignment="1" applyProtection="1">
      <alignment vertical="center"/>
      <protection hidden="1"/>
    </xf>
    <xf numFmtId="0" fontId="3" fillId="0" borderId="1" xfId="0" applyFont="1" applyFill="1" applyBorder="1" applyAlignment="1" applyProtection="1">
      <alignment horizontal="left" vertical="center" wrapText="1"/>
      <protection locked="0"/>
    </xf>
    <xf numFmtId="0" fontId="3" fillId="0" borderId="2" xfId="0" applyFont="1" applyFill="1" applyBorder="1" applyAlignment="1" applyProtection="1">
      <alignment vertical="top" wrapText="1"/>
      <protection locked="0"/>
    </xf>
    <xf numFmtId="0" fontId="3" fillId="0" borderId="1" xfId="0" applyFont="1" applyBorder="1" applyAlignment="1" applyProtection="1">
      <alignment vertical="center"/>
      <protection locked="0" hidden="1"/>
    </xf>
    <xf numFmtId="0" fontId="3" fillId="0" borderId="1" xfId="0" applyFont="1" applyBorder="1" applyAlignment="1" applyProtection="1">
      <alignment vertical="center" wrapText="1"/>
      <protection locked="0"/>
    </xf>
    <xf numFmtId="0" fontId="3" fillId="0" borderId="1" xfId="0" applyFont="1" applyFill="1" applyBorder="1" applyProtection="1">
      <protection locked="0"/>
    </xf>
    <xf numFmtId="44" fontId="3" fillId="0" borderId="1" xfId="0" applyNumberFormat="1" applyFont="1" applyBorder="1" applyAlignment="1" applyProtection="1">
      <alignment vertical="center"/>
      <protection locked="0"/>
    </xf>
    <xf numFmtId="44" fontId="3" fillId="0" borderId="1" xfId="0" applyNumberFormat="1" applyFont="1" applyFill="1" applyBorder="1" applyAlignment="1" applyProtection="1">
      <alignment vertical="center"/>
      <protection locked="0"/>
    </xf>
    <xf numFmtId="0" fontId="3" fillId="0" borderId="1" xfId="0" applyFont="1" applyBorder="1" applyAlignment="1" applyProtection="1">
      <alignment horizontal="left" vertical="center" wrapText="1"/>
      <protection locked="0"/>
    </xf>
    <xf numFmtId="0" fontId="3" fillId="0" borderId="1" xfId="0" applyFont="1" applyFill="1" applyBorder="1" applyAlignment="1" applyProtection="1">
      <alignment horizontal="left" wrapText="1"/>
      <protection locked="0"/>
    </xf>
    <xf numFmtId="5" fontId="2" fillId="4" borderId="0" xfId="0" applyNumberFormat="1" applyFont="1" applyFill="1" applyAlignment="1" applyProtection="1">
      <alignment horizontal="center" vertical="center"/>
      <protection hidden="1"/>
    </xf>
    <xf numFmtId="10" fontId="2" fillId="4" borderId="0" xfId="0" applyNumberFormat="1" applyFont="1" applyFill="1" applyAlignment="1" applyProtection="1">
      <alignment horizontal="center" vertical="center"/>
      <protection hidden="1"/>
    </xf>
    <xf numFmtId="42" fontId="2" fillId="4" borderId="2" xfId="0" applyNumberFormat="1" applyFont="1" applyFill="1" applyBorder="1" applyAlignment="1" applyProtection="1">
      <alignment vertical="center"/>
      <protection hidden="1"/>
    </xf>
    <xf numFmtId="10" fontId="2" fillId="4" borderId="2" xfId="0" applyNumberFormat="1" applyFont="1" applyFill="1" applyBorder="1" applyAlignment="1" applyProtection="1">
      <alignment horizontal="center" vertical="center"/>
      <protection locked="0"/>
    </xf>
    <xf numFmtId="0" fontId="32" fillId="0" borderId="0" xfId="0" applyFont="1" applyAlignment="1">
      <alignment horizontal="center"/>
    </xf>
    <xf numFmtId="0" fontId="33" fillId="0" borderId="0" xfId="0" applyFont="1"/>
    <xf numFmtId="171" fontId="14" fillId="0" borderId="0" xfId="0" applyNumberFormat="1" applyFont="1" applyAlignment="1" applyProtection="1">
      <alignment vertical="center"/>
      <protection locked="0"/>
    </xf>
    <xf numFmtId="171" fontId="2" fillId="0" borderId="0" xfId="0" applyNumberFormat="1" applyFont="1" applyAlignment="1" applyProtection="1">
      <alignment vertical="center"/>
      <protection locked="0"/>
    </xf>
    <xf numFmtId="171" fontId="0" fillId="0" borderId="0" xfId="0" applyNumberFormat="1" applyBorder="1" applyAlignment="1" applyProtection="1">
      <alignment vertical="center"/>
      <protection locked="0"/>
    </xf>
    <xf numFmtId="171" fontId="30" fillId="0" borderId="0" xfId="0" applyNumberFormat="1" applyFont="1" applyBorder="1" applyAlignment="1" applyProtection="1">
      <alignment horizontal="center" vertical="center" wrapText="1"/>
      <protection locked="0"/>
    </xf>
    <xf numFmtId="171" fontId="20" fillId="0" borderId="0" xfId="0" applyNumberFormat="1" applyFont="1" applyFill="1" applyBorder="1" applyAlignment="1" applyProtection="1">
      <alignment vertical="center"/>
      <protection hidden="1"/>
    </xf>
    <xf numFmtId="171" fontId="20" fillId="0" borderId="0" xfId="0" applyNumberFormat="1" applyFont="1" applyBorder="1" applyAlignment="1" applyProtection="1">
      <alignment vertical="center"/>
      <protection locked="0"/>
    </xf>
    <xf numFmtId="171" fontId="20" fillId="0" borderId="0" xfId="0" applyNumberFormat="1" applyFont="1" applyAlignment="1" applyProtection="1">
      <alignment vertical="center"/>
      <protection locked="0"/>
    </xf>
    <xf numFmtId="171" fontId="0" fillId="2" borderId="2" xfId="0" applyNumberFormat="1" applyFill="1" applyBorder="1" applyAlignment="1" applyProtection="1">
      <alignment vertical="center"/>
      <protection locked="0"/>
    </xf>
    <xf numFmtId="171" fontId="10" fillId="0" borderId="2" xfId="0" applyNumberFormat="1" applyFont="1" applyFill="1" applyBorder="1" applyAlignment="1" applyProtection="1">
      <alignment horizontal="center" vertical="center" wrapText="1"/>
      <protection locked="0"/>
    </xf>
    <xf numFmtId="171" fontId="3" fillId="3" borderId="2" xfId="2" applyNumberFormat="1" applyFont="1" applyFill="1" applyBorder="1" applyProtection="1">
      <protection locked="0"/>
    </xf>
    <xf numFmtId="171" fontId="3" fillId="3" borderId="2" xfId="0" applyNumberFormat="1" applyFont="1" applyFill="1" applyBorder="1" applyAlignment="1" applyProtection="1">
      <alignment vertical="center"/>
      <protection hidden="1"/>
    </xf>
    <xf numFmtId="171" fontId="3" fillId="0" borderId="0" xfId="0" applyNumberFormat="1" applyFont="1" applyBorder="1" applyAlignment="1" applyProtection="1">
      <alignment vertical="center" wrapText="1"/>
      <protection locked="0"/>
    </xf>
    <xf numFmtId="171" fontId="3" fillId="0" borderId="0" xfId="0" applyNumberFormat="1" applyFont="1" applyAlignment="1" applyProtection="1">
      <alignment vertical="center"/>
      <protection locked="0"/>
    </xf>
    <xf numFmtId="171" fontId="11" fillId="0" borderId="0" xfId="0" applyNumberFormat="1" applyFont="1" applyAlignment="1" applyProtection="1">
      <alignment vertical="center"/>
      <protection locked="0"/>
    </xf>
    <xf numFmtId="171" fontId="0" fillId="0" borderId="0" xfId="0" applyNumberFormat="1" applyAlignment="1" applyProtection="1">
      <alignment vertical="center"/>
      <protection locked="0"/>
    </xf>
    <xf numFmtId="44" fontId="2" fillId="4" borderId="0" xfId="0" applyNumberFormat="1" applyFont="1" applyFill="1" applyAlignment="1" applyProtection="1">
      <alignment horizontal="center" vertical="center"/>
      <protection hidden="1"/>
    </xf>
    <xf numFmtId="0" fontId="1" fillId="0" borderId="1" xfId="0" applyFont="1" applyFill="1" applyBorder="1" applyAlignment="1" applyProtection="1">
      <alignment horizontal="left" vertical="top"/>
      <protection locked="0"/>
    </xf>
    <xf numFmtId="0" fontId="1" fillId="0" borderId="1" xfId="0" applyFont="1" applyBorder="1" applyAlignment="1" applyProtection="1">
      <alignment horizontal="left" vertical="center" wrapText="1"/>
      <protection locked="0"/>
    </xf>
    <xf numFmtId="49" fontId="3" fillId="0" borderId="0" xfId="0" applyNumberFormat="1" applyFont="1" applyFill="1" applyBorder="1" applyAlignment="1" applyProtection="1">
      <alignment horizontal="left"/>
      <protection locked="0"/>
    </xf>
    <xf numFmtId="0" fontId="2" fillId="0" borderId="2" xfId="0" applyFont="1" applyBorder="1" applyAlignment="1" applyProtection="1">
      <alignment horizontal="right" vertical="center"/>
      <protection locked="0"/>
    </xf>
    <xf numFmtId="0" fontId="2" fillId="2" borderId="2"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0" borderId="0" xfId="0" applyFont="1" applyAlignment="1" applyProtection="1">
      <alignment horizontal="right" vertical="center"/>
      <protection locked="0"/>
    </xf>
    <xf numFmtId="0" fontId="2" fillId="2" borderId="3" xfId="0" applyFont="1" applyFill="1" applyBorder="1" applyAlignment="1" applyProtection="1">
      <alignment horizontal="center" vertical="center"/>
      <protection locked="0"/>
    </xf>
    <xf numFmtId="0" fontId="0" fillId="0" borderId="8" xfId="0" applyBorder="1" applyAlignment="1" applyProtection="1">
      <alignment vertical="center"/>
      <protection locked="0"/>
    </xf>
    <xf numFmtId="0" fontId="0" fillId="0" borderId="4" xfId="0" applyBorder="1" applyAlignment="1" applyProtection="1">
      <alignment vertical="center"/>
      <protection locked="0"/>
    </xf>
    <xf numFmtId="170" fontId="12" fillId="0" borderId="0" xfId="0" applyNumberFormat="1" applyFont="1" applyFill="1" applyBorder="1" applyAlignment="1" applyProtection="1">
      <alignment horizontal="left" vertical="center"/>
      <protection hidden="1"/>
    </xf>
    <xf numFmtId="0" fontId="0" fillId="0" borderId="2" xfId="0" applyBorder="1" applyAlignment="1" applyProtection="1">
      <alignment vertical="center"/>
      <protection locked="0"/>
    </xf>
    <xf numFmtId="14" fontId="12" fillId="0" borderId="0" xfId="0" applyNumberFormat="1" applyFont="1" applyAlignment="1" applyProtection="1">
      <alignment horizontal="left" vertical="center"/>
      <protection locked="0"/>
    </xf>
    <xf numFmtId="0" fontId="3" fillId="0" borderId="0" xfId="0" applyFont="1" applyAlignment="1" applyProtection="1">
      <alignment horizontal="right" vertical="center"/>
      <protection locked="0"/>
    </xf>
  </cellXfs>
  <cellStyles count="5">
    <cellStyle name="Currency" xfId="1" builtinId="4"/>
    <cellStyle name="Normal" xfId="0" builtinId="0"/>
    <cellStyle name="Normal_022807_APD_Guidelines_Appendix_A3" xfId="2"/>
    <cellStyle name="Normal_Depreciation summary" xfId="3"/>
    <cellStyle name="Percent" xfId="4" builtinId="5"/>
  </cellStyles>
  <dxfs count="6">
    <dxf>
      <font>
        <condense val="0"/>
        <extend val="0"/>
        <color indexed="9"/>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 Id="rId5" Type="http://schemas.openxmlformats.org/officeDocument/2006/relationships/image" Target="../media/image1.emf"/><Relationship Id="rId4"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133350</xdr:colOff>
          <xdr:row>0</xdr:row>
          <xdr:rowOff>114300</xdr:rowOff>
        </xdr:from>
        <xdr:to>
          <xdr:col>10</xdr:col>
          <xdr:colOff>666750</xdr:colOff>
          <xdr:row>0</xdr:row>
          <xdr:rowOff>409575</xdr:rowOff>
        </xdr:to>
        <xdr:grpSp>
          <xdr:nvGrpSpPr>
            <xdr:cNvPr id="11739" name="Group 3547"/>
            <xdr:cNvGrpSpPr>
              <a:grpSpLocks/>
            </xdr:cNvGrpSpPr>
          </xdr:nvGrpSpPr>
          <xdr:grpSpPr bwMode="auto">
            <a:xfrm>
              <a:off x="276225" y="114300"/>
              <a:ext cx="7229475" cy="295275"/>
              <a:chOff x="10" y="14"/>
              <a:chExt cx="763" cy="27"/>
            </a:xfrm>
          </xdr:grpSpPr>
          <xdr:sp macro="" textlink="">
            <xdr:nvSpPr>
              <xdr:cNvPr id="1276" name="CommandButton1" hidden="1">
                <a:extLst>
                  <a:ext uri="{63B3BB69-23CF-44E3-9099-C40C66FF867C}">
                    <a14:compatExt spid="_x0000_s1276"/>
                  </a:ext>
                </a:extLst>
              </xdr:cNvPr>
              <xdr:cNvSpPr/>
            </xdr:nvSpPr>
            <xdr:spPr>
              <a:xfrm>
                <a:off x="10" y="14"/>
                <a:ext cx="86" cy="25"/>
              </a:xfrm>
              <a:prstGeom prst="rect">
                <a:avLst/>
              </a:prstGeom>
            </xdr:spPr>
          </xdr:sp>
          <xdr:sp macro="" textlink="">
            <xdr:nvSpPr>
              <xdr:cNvPr id="1286" name="CommandButton2" hidden="1">
                <a:extLst>
                  <a:ext uri="{63B3BB69-23CF-44E3-9099-C40C66FF867C}">
                    <a14:compatExt spid="_x0000_s1286"/>
                  </a:ext>
                </a:extLst>
              </xdr:cNvPr>
              <xdr:cNvSpPr/>
            </xdr:nvSpPr>
            <xdr:spPr>
              <a:xfrm>
                <a:off x="121" y="15"/>
                <a:ext cx="86" cy="25"/>
              </a:xfrm>
              <a:prstGeom prst="rect">
                <a:avLst/>
              </a:prstGeom>
            </xdr:spPr>
          </xdr:sp>
          <xdr:sp macro="" textlink="">
            <xdr:nvSpPr>
              <xdr:cNvPr id="1287" name="CommandButton3" hidden="1">
                <a:extLst>
                  <a:ext uri="{63B3BB69-23CF-44E3-9099-C40C66FF867C}">
                    <a14:compatExt spid="_x0000_s1287"/>
                  </a:ext>
                </a:extLst>
              </xdr:cNvPr>
              <xdr:cNvSpPr/>
            </xdr:nvSpPr>
            <xdr:spPr>
              <a:xfrm>
                <a:off x="532" y="15"/>
                <a:ext cx="97" cy="25"/>
              </a:xfrm>
              <a:prstGeom prst="rect">
                <a:avLst/>
              </a:prstGeom>
            </xdr:spPr>
          </xdr:sp>
          <xdr:sp macro="" textlink="">
            <xdr:nvSpPr>
              <xdr:cNvPr id="1288" name="CommandButton4" hidden="1">
                <a:extLst>
                  <a:ext uri="{63B3BB69-23CF-44E3-9099-C40C66FF867C}">
                    <a14:compatExt spid="_x0000_s1288"/>
                  </a:ext>
                </a:extLst>
              </xdr:cNvPr>
              <xdr:cNvSpPr/>
            </xdr:nvSpPr>
            <xdr:spPr>
              <a:xfrm>
                <a:off x="251" y="14"/>
                <a:ext cx="87" cy="25"/>
              </a:xfrm>
              <a:prstGeom prst="rect">
                <a:avLst/>
              </a:prstGeom>
            </xdr:spPr>
          </xdr:sp>
          <xdr:sp macro="" textlink="">
            <xdr:nvSpPr>
              <xdr:cNvPr id="1322" name="CommandButton5" hidden="1">
                <a:extLst>
                  <a:ext uri="{63B3BB69-23CF-44E3-9099-C40C66FF867C}">
                    <a14:compatExt spid="_x0000_s1322"/>
                  </a:ext>
                </a:extLst>
              </xdr:cNvPr>
              <xdr:cNvSpPr/>
            </xdr:nvSpPr>
            <xdr:spPr>
              <a:xfrm>
                <a:off x="662" y="16"/>
                <a:ext cx="111" cy="25"/>
              </a:xfrm>
              <a:prstGeom prst="rect">
                <a:avLst/>
              </a:prstGeom>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238125</xdr:colOff>
          <xdr:row>25</xdr:row>
          <xdr:rowOff>152400</xdr:rowOff>
        </xdr:from>
        <xdr:to>
          <xdr:col>3</xdr:col>
          <xdr:colOff>514350</xdr:colOff>
          <xdr:row>27</xdr:row>
          <xdr:rowOff>104775</xdr:rowOff>
        </xdr:to>
        <xdr:sp macro="" textlink="">
          <xdr:nvSpPr>
            <xdr:cNvPr id="5124" name="CommandButton1" hidden="1">
              <a:extLst>
                <a:ext uri="{63B3BB69-23CF-44E3-9099-C40C66FF867C}">
                  <a14:compatExt spid="_x0000_s512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5</xdr:col>
          <xdr:colOff>38100</xdr:colOff>
          <xdr:row>27</xdr:row>
          <xdr:rowOff>114300</xdr:rowOff>
        </xdr:to>
        <xdr:sp macro="" textlink="">
          <xdr:nvSpPr>
            <xdr:cNvPr id="5125" name="CommandButton2" hidden="1">
              <a:extLst>
                <a:ext uri="{63B3BB69-23CF-44E3-9099-C40C66FF867C}">
                  <a14:compatExt spid="_x0000_s5125"/>
                </a:ext>
              </a:extLst>
            </xdr:cNvPr>
            <xdr:cNvSpPr/>
          </xdr:nvSpPr>
          <xdr:spPr>
            <a:xfrm>
              <a:off x="0" y="0"/>
              <a:ext cx="0" cy="0"/>
            </a:xfrm>
            <a:prstGeom prst="rect">
              <a:avLst/>
            </a:prstGeom>
          </xdr:spPr>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80"/>
          </a:solidFill>
          <a:prstDash val="solid"/>
          <a:round/>
          <a:headEnd type="none" w="med" len="med"/>
          <a:tailEnd type="none" w="med" len="med"/>
        </a:ln>
        <a:effectLst>
          <a:outerShdw dist="35921" dir="2700000" algn="ctr" rotWithShape="0">
            <a:srgbClr val="000000">
              <a:alpha val="50000"/>
            </a:srgbClr>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80"/>
          </a:solidFill>
          <a:prstDash val="solid"/>
          <a:round/>
          <a:headEnd type="none" w="med" len="med"/>
          <a:tailEnd type="none" w="med" len="med"/>
        </a:ln>
        <a:effectLst>
          <a:outerShdw dist="35921" dir="2700000" algn="ctr" rotWithShape="0">
            <a:srgbClr val="000000">
              <a:alpha val="50000"/>
            </a:srgbClr>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image" Target="../media/image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xml"/><Relationship Id="rId5" Type="http://schemas.openxmlformats.org/officeDocument/2006/relationships/image" Target="../media/image6.emf"/><Relationship Id="rId4" Type="http://schemas.openxmlformats.org/officeDocument/2006/relationships/control" Target="../activeX/activeX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J130"/>
  <sheetViews>
    <sheetView view="pageBreakPreview" topLeftCell="B1" zoomScaleNormal="100" zoomScaleSheetLayoutView="100" workbookViewId="0">
      <pane ySplit="4" topLeftCell="A20" activePane="bottomLeft" state="frozen"/>
      <selection activeCell="B5" sqref="B5"/>
      <selection pane="bottomLeft" activeCell="I22" sqref="I22"/>
    </sheetView>
  </sheetViews>
  <sheetFormatPr defaultRowHeight="12.75"/>
  <cols>
    <col min="1" max="1" width="10.7109375" style="55" hidden="1" customWidth="1"/>
    <col min="2" max="2" width="2.140625" style="55" customWidth="1"/>
    <col min="3" max="3" width="8.42578125" style="55" bestFit="1" customWidth="1"/>
    <col min="4" max="4" width="8.5703125" style="57" bestFit="1" customWidth="1"/>
    <col min="5" max="5" width="4.85546875" style="57" customWidth="1"/>
    <col min="6" max="6" width="4" style="57" bestFit="1" customWidth="1"/>
    <col min="7" max="7" width="6.5703125" style="57" customWidth="1"/>
    <col min="8" max="8" width="6.42578125" style="57" customWidth="1"/>
    <col min="9" max="9" width="46.5703125" style="55" customWidth="1"/>
    <col min="10" max="10" width="15" style="145" customWidth="1"/>
    <col min="11" max="11" width="14.5703125" style="145" bestFit="1" customWidth="1"/>
    <col min="12" max="12" width="3.85546875" style="55" customWidth="1"/>
    <col min="13" max="13" width="12.5703125" style="55" customWidth="1"/>
    <col min="14" max="14" width="9.140625" style="55" customWidth="1"/>
    <col min="15" max="15" width="16.140625" style="58" customWidth="1"/>
    <col min="16" max="16" width="16.140625" style="55" customWidth="1"/>
    <col min="17" max="18" width="10.140625" style="55" customWidth="1"/>
    <col min="19" max="19" width="16.140625" style="55" customWidth="1"/>
    <col min="20" max="20" width="13.5703125" style="55" customWidth="1"/>
    <col min="21" max="21" width="13.85546875" style="55" customWidth="1"/>
    <col min="22" max="32" width="16.5703125" style="57" customWidth="1"/>
    <col min="33" max="33" width="5" style="57" customWidth="1"/>
    <col min="34" max="34" width="3.42578125" style="55" customWidth="1"/>
    <col min="35" max="35" width="9.140625" style="59"/>
    <col min="36" max="36" width="6.7109375" style="55" customWidth="1"/>
    <col min="37" max="16384" width="9.140625" style="55"/>
  </cols>
  <sheetData>
    <row r="1" spans="1:35" ht="38.25">
      <c r="B1" s="56" t="s">
        <v>33</v>
      </c>
      <c r="J1" s="55"/>
      <c r="K1" s="55"/>
    </row>
    <row r="2" spans="1:35" s="60" customFormat="1" ht="15.75">
      <c r="B2" s="61"/>
      <c r="C2" s="62" t="s">
        <v>76</v>
      </c>
      <c r="D2" s="198" t="s">
        <v>133</v>
      </c>
      <c r="E2" s="198"/>
      <c r="F2" s="198"/>
      <c r="G2" s="198"/>
      <c r="H2" s="63"/>
      <c r="I2" s="64"/>
      <c r="J2" s="65" t="s">
        <v>78</v>
      </c>
      <c r="K2" s="66">
        <v>41192</v>
      </c>
      <c r="O2" s="67"/>
      <c r="V2" s="68"/>
      <c r="W2" s="68"/>
      <c r="X2" s="68"/>
      <c r="Y2" s="68"/>
      <c r="Z2" s="68"/>
      <c r="AA2" s="68"/>
      <c r="AB2" s="68"/>
      <c r="AC2" s="68"/>
      <c r="AD2" s="68"/>
      <c r="AE2" s="68"/>
      <c r="AF2" s="68"/>
      <c r="AG2" s="68"/>
      <c r="AI2" s="69"/>
    </row>
    <row r="3" spans="1:35" s="60" customFormat="1" ht="15.75">
      <c r="B3" s="61"/>
      <c r="C3" s="62"/>
      <c r="D3" s="70"/>
      <c r="E3" s="70"/>
      <c r="F3" s="70"/>
      <c r="G3" s="70"/>
      <c r="H3" s="63"/>
      <c r="I3" s="70"/>
      <c r="J3" s="65"/>
      <c r="K3" s="71"/>
      <c r="O3" s="67"/>
      <c r="V3" s="68"/>
      <c r="W3" s="68"/>
      <c r="X3" s="68"/>
      <c r="Y3" s="68"/>
      <c r="Z3" s="68"/>
      <c r="AA3" s="68"/>
      <c r="AB3" s="68"/>
      <c r="AC3" s="68"/>
      <c r="AD3" s="68"/>
      <c r="AE3" s="68"/>
      <c r="AF3" s="68"/>
      <c r="AG3" s="68"/>
      <c r="AI3" s="69"/>
    </row>
    <row r="4" spans="1:35" s="72" customFormat="1" ht="38.25">
      <c r="C4" s="73" t="s">
        <v>166</v>
      </c>
      <c r="D4" s="73" t="s">
        <v>77</v>
      </c>
      <c r="E4" s="74" t="s">
        <v>92</v>
      </c>
      <c r="F4" s="74" t="s">
        <v>31</v>
      </c>
      <c r="G4" s="74" t="s">
        <v>93</v>
      </c>
      <c r="H4" s="75" t="s">
        <v>90</v>
      </c>
      <c r="I4" s="75" t="s">
        <v>21</v>
      </c>
      <c r="J4" s="76" t="s">
        <v>1</v>
      </c>
      <c r="K4" s="76" t="s">
        <v>2</v>
      </c>
      <c r="M4" s="77" t="s">
        <v>3</v>
      </c>
      <c r="N4" s="77" t="s">
        <v>4</v>
      </c>
      <c r="O4" s="77" t="s">
        <v>5</v>
      </c>
      <c r="P4" s="77" t="s">
        <v>6</v>
      </c>
      <c r="Q4" s="77" t="s">
        <v>7</v>
      </c>
      <c r="R4" s="77" t="s">
        <v>35</v>
      </c>
      <c r="S4" s="77" t="s">
        <v>8</v>
      </c>
      <c r="T4" s="77" t="s">
        <v>9</v>
      </c>
      <c r="U4" s="77" t="s">
        <v>10</v>
      </c>
      <c r="V4" s="77" t="s">
        <v>25</v>
      </c>
      <c r="W4" s="77" t="s">
        <v>39</v>
      </c>
      <c r="X4" s="77" t="s">
        <v>165</v>
      </c>
      <c r="Y4" s="77" t="s">
        <v>50</v>
      </c>
      <c r="Z4" s="77" t="s">
        <v>63</v>
      </c>
      <c r="AA4" s="77" t="s">
        <v>51</v>
      </c>
      <c r="AB4" s="77" t="s">
        <v>52</v>
      </c>
      <c r="AC4" s="77" t="s">
        <v>53</v>
      </c>
      <c r="AD4" s="77" t="s">
        <v>54</v>
      </c>
      <c r="AE4" s="77" t="s">
        <v>55</v>
      </c>
      <c r="AF4" s="77" t="s">
        <v>56</v>
      </c>
      <c r="AG4" s="77"/>
      <c r="AI4" s="78"/>
    </row>
    <row r="5" spans="1:35" s="72" customFormat="1">
      <c r="C5" s="79"/>
      <c r="D5" s="80"/>
      <c r="E5" s="81"/>
      <c r="F5" s="81"/>
      <c r="G5" s="82"/>
      <c r="H5" s="82"/>
      <c r="I5" s="82"/>
      <c r="J5" s="83"/>
      <c r="K5" s="84"/>
      <c r="M5" s="77"/>
      <c r="N5" s="77"/>
      <c r="O5" s="77"/>
      <c r="P5" s="77"/>
      <c r="Q5" s="77"/>
      <c r="R5" s="77"/>
      <c r="S5" s="77"/>
      <c r="T5" s="77"/>
      <c r="U5" s="77"/>
      <c r="V5" s="77"/>
      <c r="W5" s="77"/>
      <c r="X5" s="77"/>
      <c r="Y5" s="77"/>
      <c r="Z5" s="77"/>
      <c r="AA5" s="77"/>
      <c r="AB5" s="77"/>
      <c r="AC5" s="77"/>
      <c r="AD5" s="77"/>
      <c r="AE5" s="77"/>
      <c r="AF5" s="77"/>
      <c r="AG5" s="77"/>
    </row>
    <row r="6" spans="1:35" hidden="1">
      <c r="A6" s="55" t="s">
        <v>11</v>
      </c>
      <c r="C6" s="85"/>
      <c r="D6" s="80"/>
      <c r="E6" s="86"/>
      <c r="F6" s="86"/>
      <c r="G6" s="87"/>
      <c r="H6" s="87"/>
      <c r="I6" s="88" t="s">
        <v>167</v>
      </c>
      <c r="J6" s="89"/>
      <c r="K6" s="90"/>
      <c r="M6" s="91"/>
      <c r="N6" s="91"/>
      <c r="O6" s="92"/>
      <c r="P6" s="92"/>
      <c r="Q6" s="92"/>
      <c r="R6" s="92"/>
      <c r="S6" s="92"/>
      <c r="T6" s="92"/>
      <c r="U6" s="92"/>
      <c r="V6" s="92"/>
      <c r="W6" s="92"/>
      <c r="X6" s="92"/>
      <c r="Y6" s="92"/>
      <c r="Z6" s="93"/>
      <c r="AA6" s="93"/>
      <c r="AB6" s="93"/>
      <c r="AC6" s="93"/>
      <c r="AD6" s="93"/>
      <c r="AE6" s="93"/>
      <c r="AF6" s="93"/>
      <c r="AG6" s="93"/>
    </row>
    <row r="7" spans="1:35" hidden="1">
      <c r="A7" s="55" t="s">
        <v>11</v>
      </c>
      <c r="C7" s="46" t="s">
        <v>60</v>
      </c>
      <c r="D7" s="34">
        <v>0.8</v>
      </c>
      <c r="E7" s="94"/>
      <c r="F7" s="46" t="s">
        <v>11</v>
      </c>
      <c r="G7" s="46"/>
      <c r="H7" s="95"/>
      <c r="I7" s="165"/>
      <c r="J7" s="96"/>
      <c r="K7" s="9">
        <f>J7*H7</f>
        <v>0</v>
      </c>
      <c r="M7" s="4">
        <f>IF($F7="X",J7,0)</f>
        <v>0</v>
      </c>
      <c r="N7" s="4">
        <f>IF(M7&lt;&gt;"",M7*Tax,0)</f>
        <v>0</v>
      </c>
      <c r="O7" s="5">
        <f>IF($F7&lt;&gt;"X",J7,0)</f>
        <v>0</v>
      </c>
      <c r="P7" s="5">
        <f>IF($F7="X",K7,0)</f>
        <v>0</v>
      </c>
      <c r="Q7" s="5">
        <f>IF(P7&lt;&gt;"",P7*Tax,0)</f>
        <v>0</v>
      </c>
      <c r="R7" s="5">
        <f>IF(E7&lt;&gt;"",DGSFee*(K7),0)</f>
        <v>0</v>
      </c>
      <c r="S7" s="5">
        <f>IF($F7&lt;&gt;"X",K7,0)</f>
        <v>0</v>
      </c>
      <c r="T7" s="5">
        <f>IF($G7&gt;0,$K7,0)</f>
        <v>0</v>
      </c>
      <c r="U7" s="5">
        <f>IF($G7&lt;1,$K7,0)</f>
        <v>0</v>
      </c>
      <c r="V7" s="5">
        <f>IF(DeprTax="Y",IF(G7&gt;0,Q7,0),0)</f>
        <v>0</v>
      </c>
      <c r="W7" s="5">
        <f>IF(DeprTax="Y",IF(G7&gt;0,R7,0),0)</f>
        <v>0</v>
      </c>
      <c r="X7" s="5">
        <f>D7*(K7+Q7+R7)</f>
        <v>0</v>
      </c>
      <c r="Y7" s="5">
        <f>IF($C7="CMP",$K7+$Q7+$R7,0)</f>
        <v>0</v>
      </c>
      <c r="Z7" s="5">
        <f>IF($C7="CCS",$K7+$Q7+$R7,0)</f>
        <v>0</v>
      </c>
      <c r="AA7" s="5">
        <f>IF($C7="Hrdw",$K7+$Q7+$R7,0)</f>
        <v>0</v>
      </c>
      <c r="AB7" s="5">
        <f>IF($C7="Sftw",$K7+$Q7+$R7,0)</f>
        <v>0</v>
      </c>
      <c r="AC7" s="5">
        <f>IF($C7="Trng",$K7+$Q7+$R7,0)</f>
        <v>0</v>
      </c>
      <c r="AD7" s="5">
        <f>IF($C7="Ovrhd",$K7+$Q7+$R7,0)</f>
        <v>0</v>
      </c>
      <c r="AE7" s="5">
        <f>IF($C7="Supp",$K7+$Q7+$R7,0)</f>
        <v>0</v>
      </c>
      <c r="AF7" s="5">
        <f>IF($C7="Other",$K7+$Q7+$R7,0)</f>
        <v>0</v>
      </c>
      <c r="AG7" s="93"/>
    </row>
    <row r="8" spans="1:35" hidden="1">
      <c r="C8" s="46" t="s">
        <v>60</v>
      </c>
      <c r="D8" s="34">
        <v>0.8</v>
      </c>
      <c r="E8" s="94"/>
      <c r="F8" s="46" t="s">
        <v>11</v>
      </c>
      <c r="G8" s="46"/>
      <c r="H8" s="95"/>
      <c r="I8" s="166"/>
      <c r="J8" s="135"/>
      <c r="K8" s="9">
        <f>J8*H8</f>
        <v>0</v>
      </c>
      <c r="M8" s="4">
        <f>IF($F8="X",J8,0)</f>
        <v>0</v>
      </c>
      <c r="N8" s="4">
        <f>IF(M8&lt;&gt;"",M8*Tax,0)</f>
        <v>0</v>
      </c>
      <c r="O8" s="5">
        <f>IF($F8&lt;&gt;"X",J8,0)</f>
        <v>0</v>
      </c>
      <c r="P8" s="5">
        <f>IF($F8="X",K8,0)</f>
        <v>0</v>
      </c>
      <c r="Q8" s="5">
        <f>IF(P8&lt;&gt;"",P8*Tax,0)</f>
        <v>0</v>
      </c>
      <c r="R8" s="5">
        <f>IF(E8&lt;&gt;"",DGSFee*(K8),0)</f>
        <v>0</v>
      </c>
      <c r="S8" s="5">
        <f>IF($F8&lt;&gt;"X",K8,0)</f>
        <v>0</v>
      </c>
      <c r="T8" s="5">
        <f>IF($G8&gt;0,$K8,0)</f>
        <v>0</v>
      </c>
      <c r="U8" s="5">
        <f>IF($G8&lt;1,$K8,0)</f>
        <v>0</v>
      </c>
      <c r="V8" s="5">
        <f>IF(DeprTax="Y",IF(G8&gt;0,Q8,0),0)</f>
        <v>0</v>
      </c>
      <c r="W8" s="5">
        <f>IF(DeprTax="Y",IF(G8&gt;0,R8,0),0)</f>
        <v>0</v>
      </c>
      <c r="X8" s="5">
        <f>D8*(K8+Q8+R8)</f>
        <v>0</v>
      </c>
      <c r="Y8" s="5">
        <f>IF($C8="CMP",$K8+$Q8+$R8,0)</f>
        <v>0</v>
      </c>
      <c r="Z8" s="5">
        <f>IF($C8="CCS",$K8+$Q8+$R8,0)</f>
        <v>0</v>
      </c>
      <c r="AA8" s="5">
        <f>IF($C8="Hrdw",$K8+$Q8+$R8,0)</f>
        <v>0</v>
      </c>
      <c r="AB8" s="5">
        <f>IF($C8="Sftw",$K8+$Q8+$R8,0)</f>
        <v>0</v>
      </c>
      <c r="AC8" s="5">
        <f>IF($C8="Trng",$K8+$Q8+$R8,0)</f>
        <v>0</v>
      </c>
      <c r="AD8" s="5">
        <f>IF($C8="Ovrhd",$K8+$Q8+$R8,0)</f>
        <v>0</v>
      </c>
      <c r="AE8" s="5">
        <f>IF($C8="Supp",$K8+$Q8+$R8,0)</f>
        <v>0</v>
      </c>
      <c r="AF8" s="5">
        <f>IF($C8="Other",$K8+$Q8+$R8,0)</f>
        <v>0</v>
      </c>
      <c r="AG8" s="93"/>
    </row>
    <row r="9" spans="1:35" hidden="1">
      <c r="C9" s="46" t="s">
        <v>60</v>
      </c>
      <c r="D9" s="34">
        <v>0.8</v>
      </c>
      <c r="E9" s="94"/>
      <c r="F9" s="46"/>
      <c r="G9" s="46"/>
      <c r="H9" s="95"/>
      <c r="I9" s="167"/>
      <c r="J9" s="96"/>
      <c r="K9" s="9">
        <f>J9*H9</f>
        <v>0</v>
      </c>
      <c r="M9" s="4">
        <f>IF($F9="X",J9,0)</f>
        <v>0</v>
      </c>
      <c r="N9" s="4">
        <f>IF(M9&lt;&gt;"",M9*Tax,0)</f>
        <v>0</v>
      </c>
      <c r="O9" s="5">
        <f>IF($F9&lt;&gt;"X",J9,0)</f>
        <v>0</v>
      </c>
      <c r="P9" s="5">
        <f>IF($F9="X",K9,0)</f>
        <v>0</v>
      </c>
      <c r="Q9" s="5">
        <f>IF(P9&lt;&gt;"",P9*Tax,0)</f>
        <v>0</v>
      </c>
      <c r="R9" s="5">
        <f>IF(E9&lt;&gt;"",DGSFee*(K9),0)</f>
        <v>0</v>
      </c>
      <c r="S9" s="5">
        <f>IF($F9&lt;&gt;"X",K9,0)</f>
        <v>0</v>
      </c>
      <c r="T9" s="5">
        <f>IF($G9&gt;0,$K9,0)</f>
        <v>0</v>
      </c>
      <c r="U9" s="5">
        <f>IF($G9&lt;1,$K9,0)</f>
        <v>0</v>
      </c>
      <c r="V9" s="5">
        <f>IF(DeprTax="Y",IF(G9&gt;0,Q9,0),0)</f>
        <v>0</v>
      </c>
      <c r="W9" s="5">
        <f>IF(DeprTax="Y",IF(G9&gt;0,R9,0),0)</f>
        <v>0</v>
      </c>
      <c r="X9" s="5">
        <f>D9*(K9+Q9+R9)</f>
        <v>0</v>
      </c>
      <c r="Y9" s="5">
        <f>IF($C9="CMP",$K9+$Q9+$R9,0)</f>
        <v>0</v>
      </c>
      <c r="Z9" s="5">
        <f>IF($C9="CCS",$K9+$Q9+$R9,0)</f>
        <v>0</v>
      </c>
      <c r="AA9" s="5">
        <f>IF($C9="Hrdw",$K9+$Q9+$R9,0)</f>
        <v>0</v>
      </c>
      <c r="AB9" s="5">
        <f>IF($C9="Sftw",$K9+$Q9+$R9,0)</f>
        <v>0</v>
      </c>
      <c r="AC9" s="5">
        <f>IF($C9="Trng",$K9+$Q9+$R9,0)</f>
        <v>0</v>
      </c>
      <c r="AD9" s="5">
        <f>IF($C9="Ovrhd",$K9+$Q9+$R9,0)</f>
        <v>0</v>
      </c>
      <c r="AE9" s="5">
        <f>IF($C9="Supp",$K9+$Q9+$R9,0)</f>
        <v>0</v>
      </c>
      <c r="AF9" s="5">
        <f>IF($C9="Other",$K9+$Q9+$R9,0)</f>
        <v>0</v>
      </c>
      <c r="AG9" s="93"/>
    </row>
    <row r="10" spans="1:35" hidden="1">
      <c r="C10" s="46" t="s">
        <v>60</v>
      </c>
      <c r="D10" s="34">
        <v>0.8</v>
      </c>
      <c r="E10" s="94"/>
      <c r="F10" s="46" t="s">
        <v>11</v>
      </c>
      <c r="G10" s="46"/>
      <c r="H10" s="95"/>
      <c r="I10" s="165"/>
      <c r="J10" s="96"/>
      <c r="K10" s="9">
        <f>J10*H10</f>
        <v>0</v>
      </c>
      <c r="M10" s="4">
        <f>IF($F10="X",J10,0)</f>
        <v>0</v>
      </c>
      <c r="N10" s="4">
        <f>IF(M10&lt;&gt;"",M10*Tax,0)</f>
        <v>0</v>
      </c>
      <c r="O10" s="5">
        <f>IF($F10&lt;&gt;"X",J10,0)</f>
        <v>0</v>
      </c>
      <c r="P10" s="5">
        <f>IF($F10="X",K10,0)</f>
        <v>0</v>
      </c>
      <c r="Q10" s="5">
        <f>IF(P10&lt;&gt;"",P10*Tax,0)</f>
        <v>0</v>
      </c>
      <c r="R10" s="5">
        <f>IF(E10&lt;&gt;"",DGSFee*(K10),0)</f>
        <v>0</v>
      </c>
      <c r="S10" s="5">
        <f>IF($F10&lt;&gt;"X",K10,0)</f>
        <v>0</v>
      </c>
      <c r="T10" s="5">
        <f>IF($G10&gt;0,$K10,0)</f>
        <v>0</v>
      </c>
      <c r="U10" s="5">
        <f>IF($G10&lt;1,$K10,0)</f>
        <v>0</v>
      </c>
      <c r="V10" s="5">
        <f>IF(DeprTax="Y",IF(G10&gt;0,Q10,0),0)</f>
        <v>0</v>
      </c>
      <c r="W10" s="5">
        <f>IF(DeprTax="Y",IF(G10&gt;0,R10,0),0)</f>
        <v>0</v>
      </c>
      <c r="X10" s="5">
        <f>D10*(K10+Q10+R10)</f>
        <v>0</v>
      </c>
      <c r="Y10" s="5">
        <f>IF($C10="CMP",$K10+$Q10+$R10,0)</f>
        <v>0</v>
      </c>
      <c r="Z10" s="5">
        <f>IF($C10="CCS",$K10+$Q10+$R10,0)</f>
        <v>0</v>
      </c>
      <c r="AA10" s="5">
        <f>IF($C10="Hrdw",$K10+$Q10+$R10,0)</f>
        <v>0</v>
      </c>
      <c r="AB10" s="5">
        <f>IF($C10="Sftw",$K10+$Q10+$R10,0)</f>
        <v>0</v>
      </c>
      <c r="AC10" s="5">
        <f>IF($C10="Trng",$K10+$Q10+$R10,0)</f>
        <v>0</v>
      </c>
      <c r="AD10" s="5">
        <f>IF($C10="Ovrhd",$K10+$Q10+$R10,0)</f>
        <v>0</v>
      </c>
      <c r="AE10" s="5">
        <f>IF($C10="Supp",$K10+$Q10+$R10,0)</f>
        <v>0</v>
      </c>
      <c r="AF10" s="5">
        <f>IF($C10="Other",$K10+$Q10+$R10,0)</f>
        <v>0</v>
      </c>
      <c r="AG10" s="93"/>
    </row>
    <row r="11" spans="1:35" hidden="1">
      <c r="C11" s="46" t="s">
        <v>60</v>
      </c>
      <c r="D11" s="34">
        <v>0.8</v>
      </c>
      <c r="E11" s="94"/>
      <c r="F11" s="46"/>
      <c r="G11" s="46"/>
      <c r="H11" s="95"/>
      <c r="I11" s="165"/>
      <c r="J11" s="96"/>
      <c r="K11" s="9">
        <f>H11*J11</f>
        <v>0</v>
      </c>
      <c r="M11" s="4">
        <f>IF($F11="X",J11,0)</f>
        <v>0</v>
      </c>
      <c r="N11" s="4">
        <f>IF(M11&lt;&gt;"",M11*Tax,0)</f>
        <v>0</v>
      </c>
      <c r="O11" s="5">
        <f>IF($F11&lt;&gt;"X",J11,0)</f>
        <v>0</v>
      </c>
      <c r="P11" s="5">
        <f>IF($F11="X",K11,0)</f>
        <v>0</v>
      </c>
      <c r="Q11" s="5">
        <f>IF(P11&lt;&gt;"",P11*Tax,0)</f>
        <v>0</v>
      </c>
      <c r="R11" s="5">
        <f>IF(E11&lt;&gt;"",DGSFee*(K11),0)</f>
        <v>0</v>
      </c>
      <c r="S11" s="5">
        <f>IF($F11&lt;&gt;"X",K11,0)</f>
        <v>0</v>
      </c>
      <c r="T11" s="5">
        <f>IF($G11&gt;0,$K11,0)</f>
        <v>0</v>
      </c>
      <c r="U11" s="5">
        <f>IF($G11&lt;1,$K11,0)</f>
        <v>0</v>
      </c>
      <c r="V11" s="5">
        <f>IF(DeprTax="Y",IF(G11&gt;0,Q11,0),0)</f>
        <v>0</v>
      </c>
      <c r="W11" s="5">
        <f>IF(DeprTax="Y",IF(G11&gt;0,R11,0),0)</f>
        <v>0</v>
      </c>
      <c r="X11" s="5">
        <f>D11*(K11+Q11+R11)</f>
        <v>0</v>
      </c>
      <c r="Y11" s="5">
        <f>IF($C11="CMP",$K11+$Q11+$R11,0)</f>
        <v>0</v>
      </c>
      <c r="Z11" s="5">
        <f>IF($C11="CCS",$K11+$Q11+$R11,0)</f>
        <v>0</v>
      </c>
      <c r="AA11" s="5">
        <f>IF($C11="Hrdw",$K11+$Q11+$R11,0)</f>
        <v>0</v>
      </c>
      <c r="AB11" s="5">
        <f>IF($C11="Sftw",$K11+$Q11+$R11,0)</f>
        <v>0</v>
      </c>
      <c r="AC11" s="5">
        <f>IF($C11="Trng",$K11+$Q11+$R11,0)</f>
        <v>0</v>
      </c>
      <c r="AD11" s="5">
        <f>IF($C11="Ovrhd",$K11+$Q11+$R11,0)</f>
        <v>0</v>
      </c>
      <c r="AE11" s="5">
        <f>IF($C11="Supp",$K11+$Q11+$R11,0)</f>
        <v>0</v>
      </c>
      <c r="AF11" s="5">
        <f>IF($C11="Other",$K11+$Q11+$R11,0)</f>
        <v>0</v>
      </c>
      <c r="AG11" s="93"/>
    </row>
    <row r="12" spans="1:35" hidden="1">
      <c r="C12" s="79"/>
      <c r="D12" s="80"/>
      <c r="E12" s="100"/>
      <c r="F12" s="100"/>
      <c r="G12" s="100"/>
      <c r="H12" s="101"/>
      <c r="I12" s="103" t="s">
        <v>12</v>
      </c>
      <c r="J12" s="9">
        <f>SUM(M7:M11)</f>
        <v>0</v>
      </c>
      <c r="K12" s="9">
        <f>SUM(P7:P11)</f>
        <v>0</v>
      </c>
      <c r="M12" s="104"/>
      <c r="N12" s="104"/>
      <c r="O12" s="105"/>
      <c r="P12" s="104"/>
      <c r="Q12" s="104"/>
      <c r="R12" s="104"/>
      <c r="S12" s="105"/>
      <c r="T12" s="105"/>
      <c r="U12" s="105"/>
      <c r="V12" s="105"/>
      <c r="W12" s="105"/>
      <c r="X12" s="105"/>
      <c r="Y12" s="105"/>
      <c r="Z12" s="105"/>
      <c r="AA12" s="105"/>
      <c r="AB12" s="105"/>
      <c r="AC12" s="105"/>
      <c r="AD12" s="105"/>
      <c r="AE12" s="105"/>
      <c r="AF12" s="105"/>
      <c r="AG12" s="93"/>
      <c r="AI12" s="55"/>
    </row>
    <row r="13" spans="1:35" hidden="1">
      <c r="C13" s="79"/>
      <c r="D13" s="80"/>
      <c r="E13" s="80"/>
      <c r="F13" s="80"/>
      <c r="G13" s="80"/>
      <c r="H13" s="102"/>
      <c r="I13" s="103" t="s">
        <v>13</v>
      </c>
      <c r="J13" s="9">
        <f>SUM(O7:O11)</f>
        <v>0</v>
      </c>
      <c r="K13" s="9">
        <f>SUM(S7:S11)</f>
        <v>0</v>
      </c>
      <c r="M13" s="106"/>
      <c r="N13" s="106"/>
      <c r="O13" s="93"/>
      <c r="P13" s="93"/>
      <c r="Q13" s="93"/>
      <c r="R13" s="93"/>
      <c r="S13" s="106"/>
      <c r="T13" s="106"/>
      <c r="U13" s="106"/>
      <c r="V13" s="106"/>
      <c r="W13" s="106"/>
      <c r="X13" s="106"/>
      <c r="Y13" s="106"/>
      <c r="Z13" s="106"/>
      <c r="AA13" s="106"/>
      <c r="AB13" s="106"/>
      <c r="AC13" s="106"/>
      <c r="AD13" s="106"/>
      <c r="AE13" s="106"/>
      <c r="AF13" s="106"/>
      <c r="AG13" s="106"/>
      <c r="AI13" s="55"/>
    </row>
    <row r="14" spans="1:35" hidden="1">
      <c r="C14" s="79"/>
      <c r="D14" s="80"/>
      <c r="E14" s="80"/>
      <c r="F14" s="80"/>
      <c r="G14" s="80"/>
      <c r="H14" s="102"/>
      <c r="I14" s="15" t="str">
        <f>CONCATENATE("Tax (",TEXT(Tax,"0.00#%"),")")</f>
        <v>Tax (7.75%)</v>
      </c>
      <c r="J14" s="9">
        <f>Tax*J12</f>
        <v>0</v>
      </c>
      <c r="K14" s="9">
        <f>Tax*K12</f>
        <v>0</v>
      </c>
      <c r="M14" s="106"/>
      <c r="N14" s="106"/>
      <c r="O14" s="93"/>
      <c r="P14" s="93"/>
      <c r="Q14" s="106"/>
      <c r="R14" s="106"/>
      <c r="S14" s="93"/>
      <c r="T14" s="106"/>
      <c r="U14" s="106"/>
      <c r="V14" s="106"/>
      <c r="W14" s="106"/>
      <c r="X14" s="106"/>
      <c r="Y14" s="106"/>
      <c r="Z14" s="106"/>
      <c r="AA14" s="106"/>
      <c r="AB14" s="106"/>
      <c r="AC14" s="106"/>
      <c r="AD14" s="106"/>
      <c r="AE14" s="106"/>
      <c r="AF14" s="106"/>
      <c r="AG14" s="106"/>
      <c r="AI14" s="55"/>
    </row>
    <row r="15" spans="1:35" hidden="1">
      <c r="C15" s="79"/>
      <c r="D15" s="80"/>
      <c r="E15" s="80"/>
      <c r="F15" s="80"/>
      <c r="G15" s="80"/>
      <c r="H15" s="102"/>
      <c r="I15" s="15" t="str">
        <f>CONCATENATE("DGS Fee (",TEXT(DGSFee,"0.00#%"),")")</f>
        <v>DGS Fee (0.00%)</v>
      </c>
      <c r="J15" s="97"/>
      <c r="K15" s="9">
        <f>SUM(R7:R11)</f>
        <v>0</v>
      </c>
      <c r="M15" s="106"/>
      <c r="N15" s="106"/>
      <c r="O15" s="93"/>
      <c r="P15" s="93"/>
      <c r="Q15" s="93"/>
      <c r="R15" s="93"/>
      <c r="S15" s="106"/>
      <c r="T15" s="106"/>
      <c r="U15" s="106"/>
      <c r="V15" s="106"/>
      <c r="W15" s="106"/>
      <c r="X15" s="106"/>
      <c r="Y15" s="106"/>
      <c r="Z15" s="106"/>
      <c r="AA15" s="106"/>
      <c r="AB15" s="106"/>
      <c r="AC15" s="106"/>
      <c r="AD15" s="106"/>
      <c r="AE15" s="106"/>
      <c r="AF15" s="106"/>
      <c r="AG15" s="106"/>
      <c r="AI15" s="55"/>
    </row>
    <row r="16" spans="1:35" hidden="1">
      <c r="C16" s="79"/>
      <c r="D16" s="80"/>
      <c r="E16" s="80"/>
      <c r="F16" s="80"/>
      <c r="G16" s="80"/>
      <c r="H16" s="102"/>
      <c r="I16" s="103" t="s">
        <v>14</v>
      </c>
      <c r="J16" s="9">
        <f>SUM(J12:J15)</f>
        <v>0</v>
      </c>
      <c r="K16" s="9">
        <f>SUM(K12:K15)</f>
        <v>0</v>
      </c>
      <c r="M16" s="106"/>
      <c r="N16" s="106"/>
      <c r="O16" s="93"/>
      <c r="P16" s="93"/>
      <c r="Q16" s="106"/>
      <c r="R16" s="106"/>
      <c r="S16" s="93"/>
      <c r="T16" s="106"/>
      <c r="U16" s="106"/>
      <c r="V16" s="106"/>
      <c r="W16" s="106"/>
      <c r="X16" s="106"/>
      <c r="Y16" s="106"/>
      <c r="Z16" s="106"/>
      <c r="AA16" s="106"/>
      <c r="AB16" s="106"/>
      <c r="AC16" s="106"/>
      <c r="AD16" s="106"/>
      <c r="AE16" s="106"/>
      <c r="AF16" s="106"/>
      <c r="AG16" s="106"/>
      <c r="AI16" s="55"/>
    </row>
    <row r="17" spans="1:36" s="72" customFormat="1">
      <c r="C17" s="79"/>
      <c r="D17" s="80"/>
      <c r="E17" s="81"/>
      <c r="F17" s="81"/>
      <c r="G17" s="82"/>
      <c r="H17" s="82"/>
      <c r="I17" s="107"/>
      <c r="J17" s="83"/>
      <c r="K17" s="84"/>
      <c r="M17" s="77"/>
      <c r="N17" s="77"/>
      <c r="O17" s="77"/>
      <c r="P17" s="77"/>
      <c r="Q17" s="77"/>
      <c r="R17" s="77"/>
      <c r="S17" s="77"/>
      <c r="T17" s="77"/>
      <c r="U17" s="77"/>
      <c r="V17" s="77"/>
      <c r="W17" s="77"/>
      <c r="X17" s="77"/>
      <c r="Y17" s="77"/>
      <c r="Z17" s="77"/>
      <c r="AA17" s="77"/>
      <c r="AB17" s="77"/>
      <c r="AC17" s="77"/>
      <c r="AD17" s="77"/>
      <c r="AE17" s="77"/>
      <c r="AF17" s="77"/>
      <c r="AG17" s="77"/>
    </row>
    <row r="18" spans="1:36">
      <c r="A18" s="55" t="s">
        <v>11</v>
      </c>
      <c r="C18" s="85"/>
      <c r="D18" s="80"/>
      <c r="E18" s="86"/>
      <c r="F18" s="86"/>
      <c r="G18" s="87"/>
      <c r="H18" s="87"/>
      <c r="I18" s="88" t="s">
        <v>52</v>
      </c>
      <c r="J18" s="89"/>
      <c r="K18" s="90"/>
      <c r="M18" s="91"/>
      <c r="N18" s="91"/>
      <c r="O18" s="92"/>
      <c r="P18" s="92"/>
      <c r="Q18" s="92"/>
      <c r="R18" s="92"/>
      <c r="S18" s="92"/>
      <c r="T18" s="92"/>
      <c r="U18" s="92"/>
      <c r="V18" s="92"/>
      <c r="W18" s="92"/>
      <c r="X18" s="92"/>
      <c r="Y18" s="92"/>
      <c r="Z18" s="93"/>
      <c r="AA18" s="93"/>
      <c r="AB18" s="93"/>
      <c r="AC18" s="93"/>
      <c r="AD18" s="93"/>
      <c r="AE18" s="93"/>
      <c r="AF18" s="93"/>
      <c r="AG18" s="93"/>
    </row>
    <row r="19" spans="1:36">
      <c r="A19" s="55" t="s">
        <v>11</v>
      </c>
      <c r="C19" s="46" t="s">
        <v>59</v>
      </c>
      <c r="D19" s="34">
        <v>0</v>
      </c>
      <c r="E19" s="94"/>
      <c r="F19" s="46"/>
      <c r="G19" s="46"/>
      <c r="H19" s="95">
        <v>1</v>
      </c>
      <c r="I19" s="168" t="s">
        <v>169</v>
      </c>
      <c r="J19" s="170">
        <v>191.58</v>
      </c>
      <c r="K19" s="9">
        <f>J19*H19</f>
        <v>191.58</v>
      </c>
      <c r="M19" s="4">
        <f t="shared" ref="M19:M24" si="0">IF($F19="X",J19,0)</f>
        <v>0</v>
      </c>
      <c r="N19" s="4">
        <f t="shared" ref="N19:N24" si="1">IF(M19&lt;&gt;"",M19*Tax,0)</f>
        <v>0</v>
      </c>
      <c r="O19" s="5">
        <f t="shared" ref="O19:O24" si="2">IF($F19&lt;&gt;"X",J19,0)</f>
        <v>191.58</v>
      </c>
      <c r="P19" s="5">
        <f t="shared" ref="P19:P24" si="3">IF($F19="X",K19,0)</f>
        <v>0</v>
      </c>
      <c r="Q19" s="5">
        <f t="shared" ref="Q19:Q24" si="4">IF(P19&lt;&gt;"",P19*Tax,0)</f>
        <v>0</v>
      </c>
      <c r="R19" s="5">
        <f t="shared" ref="R19:R24" si="5">IF(E19&lt;&gt;"",DGSFee*(K19),0)</f>
        <v>0</v>
      </c>
      <c r="S19" s="5">
        <f t="shared" ref="S19:S24" si="6">IF($F19&lt;&gt;"X",K19,0)</f>
        <v>191.58</v>
      </c>
      <c r="T19" s="5">
        <f t="shared" ref="T19:T24" si="7">IF($G19&gt;0,$K19,0)</f>
        <v>0</v>
      </c>
      <c r="U19" s="5">
        <f t="shared" ref="U19:U24" si="8">IF($G19&lt;1,$K19,0)</f>
        <v>191.58</v>
      </c>
      <c r="V19" s="5">
        <f t="shared" ref="V19:V24" si="9">IF(DeprTax="Y",IF(G19&gt;0,Q19,0),0)</f>
        <v>0</v>
      </c>
      <c r="W19" s="5">
        <f t="shared" ref="W19:W24" si="10">IF(DeprTax="Y",IF(G19&gt;0,R19,0),0)</f>
        <v>0</v>
      </c>
      <c r="X19" s="5">
        <f t="shared" ref="X19:X24" si="11">D19*(K19+Q19+R19)</f>
        <v>0</v>
      </c>
      <c r="Y19" s="5">
        <f t="shared" ref="Y19:Y24" si="12">IF($C19="CMP",$K19+$Q19+$R19,0)</f>
        <v>0</v>
      </c>
      <c r="Z19" s="5">
        <f t="shared" ref="Z19:Z24" si="13">IF($C19="CCS",$K19+$Q19+$R19,0)</f>
        <v>0</v>
      </c>
      <c r="AA19" s="5">
        <f t="shared" ref="AA19:AA24" si="14">IF($C19="Hrdw",$K19+$Q19+$R19,0)</f>
        <v>0</v>
      </c>
      <c r="AB19" s="5">
        <f t="shared" ref="AB19:AB24" si="15">IF($C19="Sftw",$K19+$Q19+$R19,0)</f>
        <v>191.58</v>
      </c>
      <c r="AC19" s="5">
        <f t="shared" ref="AC19:AC24" si="16">IF($C19="Trng",$K19+$Q19+$R19,0)</f>
        <v>0</v>
      </c>
      <c r="AD19" s="5">
        <f t="shared" ref="AD19:AD24" si="17">IF($C19="Ovrhd",$K19+$Q19+$R19,0)</f>
        <v>0</v>
      </c>
      <c r="AE19" s="5">
        <f t="shared" ref="AE19:AE24" si="18">IF($C19="Supp",$K19+$Q19+$R19,0)</f>
        <v>0</v>
      </c>
      <c r="AF19" s="5">
        <f t="shared" ref="AF19:AF24" si="19">IF($C19="Other",$K19+$Q19+$R19,0)</f>
        <v>0</v>
      </c>
      <c r="AG19" s="93"/>
    </row>
    <row r="20" spans="1:36">
      <c r="C20" s="46"/>
      <c r="D20" s="34"/>
      <c r="E20" s="94"/>
      <c r="F20" s="46"/>
      <c r="G20" s="46"/>
      <c r="H20" s="95"/>
      <c r="I20" s="168"/>
      <c r="J20" s="170"/>
      <c r="K20" s="9">
        <f>J20*H20</f>
        <v>0</v>
      </c>
      <c r="M20" s="4">
        <f t="shared" si="0"/>
        <v>0</v>
      </c>
      <c r="N20" s="4">
        <f t="shared" si="1"/>
        <v>0</v>
      </c>
      <c r="O20" s="5">
        <f t="shared" si="2"/>
        <v>0</v>
      </c>
      <c r="P20" s="5">
        <f t="shared" si="3"/>
        <v>0</v>
      </c>
      <c r="Q20" s="5">
        <f t="shared" si="4"/>
        <v>0</v>
      </c>
      <c r="R20" s="5">
        <f t="shared" si="5"/>
        <v>0</v>
      </c>
      <c r="S20" s="5">
        <f t="shared" si="6"/>
        <v>0</v>
      </c>
      <c r="T20" s="5">
        <f t="shared" si="7"/>
        <v>0</v>
      </c>
      <c r="U20" s="5">
        <f t="shared" si="8"/>
        <v>0</v>
      </c>
      <c r="V20" s="5">
        <f t="shared" si="9"/>
        <v>0</v>
      </c>
      <c r="W20" s="5">
        <f t="shared" si="10"/>
        <v>0</v>
      </c>
      <c r="X20" s="5">
        <f t="shared" si="11"/>
        <v>0</v>
      </c>
      <c r="Y20" s="5">
        <f t="shared" si="12"/>
        <v>0</v>
      </c>
      <c r="Z20" s="5">
        <f t="shared" si="13"/>
        <v>0</v>
      </c>
      <c r="AA20" s="5">
        <f t="shared" si="14"/>
        <v>0</v>
      </c>
      <c r="AB20" s="5">
        <f t="shared" si="15"/>
        <v>0</v>
      </c>
      <c r="AC20" s="5">
        <f t="shared" si="16"/>
        <v>0</v>
      </c>
      <c r="AD20" s="5">
        <f t="shared" si="17"/>
        <v>0</v>
      </c>
      <c r="AE20" s="5">
        <f t="shared" si="18"/>
        <v>0</v>
      </c>
      <c r="AF20" s="5">
        <f t="shared" si="19"/>
        <v>0</v>
      </c>
      <c r="AG20" s="93"/>
    </row>
    <row r="21" spans="1:36">
      <c r="C21" s="46"/>
      <c r="D21" s="34"/>
      <c r="E21" s="94"/>
      <c r="F21" s="46"/>
      <c r="G21" s="46"/>
      <c r="H21" s="95"/>
      <c r="I21" s="168"/>
      <c r="J21" s="170"/>
      <c r="K21" s="9">
        <f>J21*H21</f>
        <v>0</v>
      </c>
      <c r="M21" s="4">
        <f t="shared" si="0"/>
        <v>0</v>
      </c>
      <c r="N21" s="4">
        <f t="shared" si="1"/>
        <v>0</v>
      </c>
      <c r="O21" s="5">
        <f t="shared" si="2"/>
        <v>0</v>
      </c>
      <c r="P21" s="5">
        <f t="shared" si="3"/>
        <v>0</v>
      </c>
      <c r="Q21" s="5">
        <f t="shared" si="4"/>
        <v>0</v>
      </c>
      <c r="R21" s="5">
        <f t="shared" si="5"/>
        <v>0</v>
      </c>
      <c r="S21" s="5">
        <f t="shared" si="6"/>
        <v>0</v>
      </c>
      <c r="T21" s="5">
        <f t="shared" si="7"/>
        <v>0</v>
      </c>
      <c r="U21" s="5">
        <f t="shared" si="8"/>
        <v>0</v>
      </c>
      <c r="V21" s="5">
        <f t="shared" si="9"/>
        <v>0</v>
      </c>
      <c r="W21" s="5">
        <f t="shared" si="10"/>
        <v>0</v>
      </c>
      <c r="X21" s="5">
        <f t="shared" si="11"/>
        <v>0</v>
      </c>
      <c r="Y21" s="5">
        <f t="shared" si="12"/>
        <v>0</v>
      </c>
      <c r="Z21" s="5">
        <f t="shared" si="13"/>
        <v>0</v>
      </c>
      <c r="AA21" s="5">
        <f t="shared" si="14"/>
        <v>0</v>
      </c>
      <c r="AB21" s="5">
        <f t="shared" si="15"/>
        <v>0</v>
      </c>
      <c r="AC21" s="5">
        <f t="shared" si="16"/>
        <v>0</v>
      </c>
      <c r="AD21" s="5">
        <f t="shared" si="17"/>
        <v>0</v>
      </c>
      <c r="AE21" s="5">
        <f t="shared" si="18"/>
        <v>0</v>
      </c>
      <c r="AF21" s="5">
        <f t="shared" si="19"/>
        <v>0</v>
      </c>
      <c r="AG21" s="93"/>
    </row>
    <row r="22" spans="1:36">
      <c r="C22" s="46"/>
      <c r="D22" s="34"/>
      <c r="E22" s="94"/>
      <c r="F22" s="46"/>
      <c r="G22" s="46"/>
      <c r="H22" s="95"/>
      <c r="I22" s="169"/>
      <c r="J22" s="171"/>
      <c r="K22" s="9">
        <f>J22*H22</f>
        <v>0</v>
      </c>
      <c r="M22" s="4">
        <f t="shared" si="0"/>
        <v>0</v>
      </c>
      <c r="N22" s="4">
        <f t="shared" si="1"/>
        <v>0</v>
      </c>
      <c r="O22" s="5">
        <f t="shared" si="2"/>
        <v>0</v>
      </c>
      <c r="P22" s="5">
        <f t="shared" si="3"/>
        <v>0</v>
      </c>
      <c r="Q22" s="5">
        <f t="shared" si="4"/>
        <v>0</v>
      </c>
      <c r="R22" s="5">
        <f t="shared" si="5"/>
        <v>0</v>
      </c>
      <c r="S22" s="5">
        <f t="shared" si="6"/>
        <v>0</v>
      </c>
      <c r="T22" s="5">
        <f t="shared" si="7"/>
        <v>0</v>
      </c>
      <c r="U22" s="5">
        <f t="shared" si="8"/>
        <v>0</v>
      </c>
      <c r="V22" s="5">
        <f t="shared" si="9"/>
        <v>0</v>
      </c>
      <c r="W22" s="5">
        <f t="shared" si="10"/>
        <v>0</v>
      </c>
      <c r="X22" s="5">
        <f t="shared" si="11"/>
        <v>0</v>
      </c>
      <c r="Y22" s="5">
        <f t="shared" si="12"/>
        <v>0</v>
      </c>
      <c r="Z22" s="5">
        <f t="shared" si="13"/>
        <v>0</v>
      </c>
      <c r="AA22" s="5">
        <f t="shared" si="14"/>
        <v>0</v>
      </c>
      <c r="AB22" s="5">
        <f t="shared" si="15"/>
        <v>0</v>
      </c>
      <c r="AC22" s="5">
        <f t="shared" si="16"/>
        <v>0</v>
      </c>
      <c r="AD22" s="5">
        <f t="shared" si="17"/>
        <v>0</v>
      </c>
      <c r="AE22" s="5">
        <f t="shared" si="18"/>
        <v>0</v>
      </c>
      <c r="AF22" s="5">
        <f t="shared" si="19"/>
        <v>0</v>
      </c>
      <c r="AG22" s="93"/>
    </row>
    <row r="23" spans="1:36">
      <c r="C23" s="46"/>
      <c r="D23" s="34"/>
      <c r="E23" s="94"/>
      <c r="F23" s="46"/>
      <c r="G23" s="46"/>
      <c r="H23" s="95"/>
      <c r="I23" s="173"/>
      <c r="J23" s="171"/>
      <c r="K23" s="9">
        <f>H23*J23</f>
        <v>0</v>
      </c>
      <c r="M23" s="4">
        <f t="shared" si="0"/>
        <v>0</v>
      </c>
      <c r="N23" s="4">
        <f t="shared" si="1"/>
        <v>0</v>
      </c>
      <c r="O23" s="5">
        <f t="shared" si="2"/>
        <v>0</v>
      </c>
      <c r="P23" s="5">
        <f t="shared" si="3"/>
        <v>0</v>
      </c>
      <c r="Q23" s="5">
        <f t="shared" si="4"/>
        <v>0</v>
      </c>
      <c r="R23" s="5">
        <f t="shared" si="5"/>
        <v>0</v>
      </c>
      <c r="S23" s="5">
        <f t="shared" si="6"/>
        <v>0</v>
      </c>
      <c r="T23" s="5">
        <f t="shared" si="7"/>
        <v>0</v>
      </c>
      <c r="U23" s="5">
        <f t="shared" si="8"/>
        <v>0</v>
      </c>
      <c r="V23" s="5">
        <f t="shared" si="9"/>
        <v>0</v>
      </c>
      <c r="W23" s="5">
        <f t="shared" si="10"/>
        <v>0</v>
      </c>
      <c r="X23" s="5">
        <f t="shared" si="11"/>
        <v>0</v>
      </c>
      <c r="Y23" s="5">
        <f t="shared" si="12"/>
        <v>0</v>
      </c>
      <c r="Z23" s="5">
        <f t="shared" si="13"/>
        <v>0</v>
      </c>
      <c r="AA23" s="5">
        <f t="shared" si="14"/>
        <v>0</v>
      </c>
      <c r="AB23" s="5">
        <f t="shared" si="15"/>
        <v>0</v>
      </c>
      <c r="AC23" s="5">
        <f t="shared" si="16"/>
        <v>0</v>
      </c>
      <c r="AD23" s="5">
        <f t="shared" si="17"/>
        <v>0</v>
      </c>
      <c r="AE23" s="5">
        <f t="shared" si="18"/>
        <v>0</v>
      </c>
      <c r="AF23" s="5">
        <f t="shared" si="19"/>
        <v>0</v>
      </c>
      <c r="AG23" s="93"/>
    </row>
    <row r="24" spans="1:36">
      <c r="A24" s="55" t="s">
        <v>11</v>
      </c>
      <c r="C24" s="46"/>
      <c r="D24" s="34"/>
      <c r="E24" s="94"/>
      <c r="F24" s="46"/>
      <c r="G24" s="46"/>
      <c r="H24" s="95"/>
      <c r="I24" s="173"/>
      <c r="J24" s="171"/>
      <c r="K24" s="9"/>
      <c r="M24" s="4">
        <f t="shared" si="0"/>
        <v>0</v>
      </c>
      <c r="N24" s="4">
        <f t="shared" si="1"/>
        <v>0</v>
      </c>
      <c r="O24" s="5">
        <f t="shared" si="2"/>
        <v>0</v>
      </c>
      <c r="P24" s="5">
        <f t="shared" si="3"/>
        <v>0</v>
      </c>
      <c r="Q24" s="5">
        <f t="shared" si="4"/>
        <v>0</v>
      </c>
      <c r="R24" s="5">
        <f t="shared" si="5"/>
        <v>0</v>
      </c>
      <c r="S24" s="5">
        <f t="shared" si="6"/>
        <v>0</v>
      </c>
      <c r="T24" s="5">
        <f t="shared" si="7"/>
        <v>0</v>
      </c>
      <c r="U24" s="5">
        <f t="shared" si="8"/>
        <v>0</v>
      </c>
      <c r="V24" s="5">
        <f t="shared" si="9"/>
        <v>0</v>
      </c>
      <c r="W24" s="5">
        <f t="shared" si="10"/>
        <v>0</v>
      </c>
      <c r="X24" s="5">
        <f t="shared" si="11"/>
        <v>0</v>
      </c>
      <c r="Y24" s="5">
        <f t="shared" si="12"/>
        <v>0</v>
      </c>
      <c r="Z24" s="5">
        <f t="shared" si="13"/>
        <v>0</v>
      </c>
      <c r="AA24" s="5">
        <f t="shared" si="14"/>
        <v>0</v>
      </c>
      <c r="AB24" s="5">
        <f t="shared" si="15"/>
        <v>0</v>
      </c>
      <c r="AC24" s="5">
        <f t="shared" si="16"/>
        <v>0</v>
      </c>
      <c r="AD24" s="5">
        <f t="shared" si="17"/>
        <v>0</v>
      </c>
      <c r="AE24" s="5">
        <f t="shared" si="18"/>
        <v>0</v>
      </c>
      <c r="AF24" s="5">
        <f t="shared" si="19"/>
        <v>0</v>
      </c>
      <c r="AG24" s="93"/>
    </row>
    <row r="25" spans="1:36">
      <c r="C25" s="79"/>
      <c r="D25" s="80"/>
      <c r="E25" s="100"/>
      <c r="F25" s="100"/>
      <c r="G25" s="100"/>
      <c r="H25" s="101"/>
      <c r="I25" s="108" t="s">
        <v>12</v>
      </c>
      <c r="J25" s="9">
        <f>SUM(M19:M24)</f>
        <v>0</v>
      </c>
      <c r="K25" s="9">
        <f>SUM(P19:P24)</f>
        <v>0</v>
      </c>
      <c r="M25" s="104"/>
      <c r="N25" s="104"/>
      <c r="O25" s="105"/>
      <c r="P25" s="104"/>
      <c r="Q25" s="104"/>
      <c r="R25" s="104"/>
      <c r="S25" s="105"/>
      <c r="T25" s="105"/>
      <c r="U25" s="105"/>
      <c r="V25" s="105"/>
      <c r="W25" s="105"/>
      <c r="X25" s="105"/>
      <c r="Y25" s="105"/>
      <c r="Z25" s="105"/>
      <c r="AA25" s="105"/>
      <c r="AB25" s="105"/>
      <c r="AC25" s="105"/>
      <c r="AD25" s="105"/>
      <c r="AE25" s="105"/>
      <c r="AF25" s="105"/>
      <c r="AG25" s="93"/>
      <c r="AI25" s="55"/>
    </row>
    <row r="26" spans="1:36">
      <c r="C26" s="79"/>
      <c r="D26" s="80"/>
      <c r="E26" s="80"/>
      <c r="F26" s="80"/>
      <c r="G26" s="80"/>
      <c r="H26" s="102"/>
      <c r="I26" s="108" t="s">
        <v>13</v>
      </c>
      <c r="J26" s="9">
        <f>SUM(O19:O24)</f>
        <v>191.58</v>
      </c>
      <c r="K26" s="9">
        <f>SUM(S19:S24)</f>
        <v>191.58</v>
      </c>
      <c r="M26" s="106"/>
      <c r="N26" s="106"/>
      <c r="O26" s="93"/>
      <c r="P26" s="93"/>
      <c r="Q26" s="93"/>
      <c r="R26" s="93"/>
      <c r="S26" s="106"/>
      <c r="T26" s="106"/>
      <c r="U26" s="106"/>
      <c r="V26" s="106"/>
      <c r="W26" s="106"/>
      <c r="X26" s="106"/>
      <c r="Y26" s="106"/>
      <c r="Z26" s="106"/>
      <c r="AA26" s="106"/>
      <c r="AB26" s="106"/>
      <c r="AC26" s="106"/>
      <c r="AD26" s="106"/>
      <c r="AE26" s="106"/>
      <c r="AF26" s="106"/>
      <c r="AG26" s="106"/>
      <c r="AI26" s="55"/>
    </row>
    <row r="27" spans="1:36">
      <c r="C27" s="79"/>
      <c r="D27" s="80"/>
      <c r="E27" s="80"/>
      <c r="F27" s="80"/>
      <c r="G27" s="80"/>
      <c r="H27" s="102"/>
      <c r="I27" s="3" t="str">
        <f>CONCATENATE("Tax (",TEXT(Tax,"0.00#%"),")")</f>
        <v>Tax (7.75%)</v>
      </c>
      <c r="J27" s="9">
        <f>Tax*J25</f>
        <v>0</v>
      </c>
      <c r="K27" s="9">
        <f>Tax*K25</f>
        <v>0</v>
      </c>
      <c r="M27" s="106"/>
      <c r="N27" s="106"/>
      <c r="O27" s="93"/>
      <c r="P27" s="93"/>
      <c r="Q27" s="106"/>
      <c r="R27" s="106"/>
      <c r="S27" s="93"/>
      <c r="T27" s="106"/>
      <c r="U27" s="106"/>
      <c r="V27" s="106"/>
      <c r="W27" s="106"/>
      <c r="X27" s="106"/>
      <c r="Y27" s="106"/>
      <c r="Z27" s="106"/>
      <c r="AA27" s="106"/>
      <c r="AB27" s="106"/>
      <c r="AC27" s="106"/>
      <c r="AD27" s="106"/>
      <c r="AE27" s="106"/>
      <c r="AF27" s="106"/>
      <c r="AG27" s="106"/>
      <c r="AI27" s="55"/>
    </row>
    <row r="28" spans="1:36">
      <c r="C28" s="79"/>
      <c r="D28" s="80"/>
      <c r="E28" s="80"/>
      <c r="F28" s="80"/>
      <c r="G28" s="80"/>
      <c r="H28" s="102"/>
      <c r="I28" s="3" t="str">
        <f>CONCATENATE("DGS Fee (",TEXT(DGSFee,"0.00#%"),")")</f>
        <v>DGS Fee (0.00%)</v>
      </c>
      <c r="J28" s="97"/>
      <c r="K28" s="9">
        <f>SUM(R19:R24)</f>
        <v>0</v>
      </c>
      <c r="M28" s="106"/>
      <c r="N28" s="106"/>
      <c r="O28" s="93"/>
      <c r="P28" s="93"/>
      <c r="Q28" s="93"/>
      <c r="R28" s="93"/>
      <c r="S28" s="106"/>
      <c r="T28" s="106"/>
      <c r="U28" s="106"/>
      <c r="V28" s="106"/>
      <c r="W28" s="106"/>
      <c r="X28" s="106"/>
      <c r="Y28" s="106"/>
      <c r="Z28" s="106"/>
      <c r="AA28" s="106"/>
      <c r="AB28" s="106"/>
      <c r="AC28" s="106"/>
      <c r="AD28" s="106"/>
      <c r="AE28" s="106"/>
      <c r="AF28" s="106"/>
      <c r="AG28" s="106"/>
      <c r="AI28" s="55"/>
    </row>
    <row r="29" spans="1:36">
      <c r="C29" s="79"/>
      <c r="D29" s="80"/>
      <c r="E29" s="80"/>
      <c r="F29" s="80"/>
      <c r="G29" s="80"/>
      <c r="H29" s="102"/>
      <c r="I29" s="108" t="s">
        <v>14</v>
      </c>
      <c r="J29" s="9">
        <f>SUM(J25:J28)</f>
        <v>191.58</v>
      </c>
      <c r="K29" s="9">
        <f>SUM(K25:K28)</f>
        <v>191.58</v>
      </c>
      <c r="M29" s="106"/>
      <c r="N29" s="106"/>
      <c r="O29" s="93"/>
      <c r="P29" s="93"/>
      <c r="Q29" s="106"/>
      <c r="R29" s="106"/>
      <c r="S29" s="93"/>
      <c r="T29" s="106"/>
      <c r="U29" s="106"/>
      <c r="V29" s="106"/>
      <c r="W29" s="106"/>
      <c r="X29" s="106"/>
      <c r="Y29" s="106"/>
      <c r="Z29" s="106"/>
      <c r="AA29" s="106"/>
      <c r="AB29" s="106"/>
      <c r="AC29" s="106"/>
      <c r="AD29" s="106"/>
      <c r="AE29" s="106"/>
      <c r="AF29" s="106"/>
      <c r="AG29" s="106"/>
      <c r="AI29" s="55"/>
    </row>
    <row r="30" spans="1:36" s="72" customFormat="1">
      <c r="C30" s="79"/>
      <c r="D30" s="80"/>
      <c r="E30" s="81"/>
      <c r="F30" s="81"/>
      <c r="G30" s="82"/>
      <c r="H30" s="82"/>
      <c r="I30" s="107"/>
      <c r="J30" s="83"/>
      <c r="K30" s="109"/>
      <c r="L30" s="79"/>
      <c r="M30" s="77"/>
      <c r="N30" s="77"/>
      <c r="O30" s="77"/>
      <c r="P30" s="77"/>
      <c r="Q30" s="77"/>
      <c r="R30" s="77"/>
      <c r="S30" s="77"/>
      <c r="T30" s="77"/>
      <c r="U30" s="77"/>
      <c r="V30" s="77"/>
      <c r="W30" s="77"/>
      <c r="X30" s="77"/>
      <c r="Y30" s="77"/>
      <c r="Z30" s="77"/>
      <c r="AA30" s="77"/>
      <c r="AB30" s="77"/>
      <c r="AC30" s="77"/>
      <c r="AD30" s="77"/>
      <c r="AE30" s="77"/>
      <c r="AF30" s="77"/>
      <c r="AG30" s="77"/>
      <c r="AJ30" s="55"/>
    </row>
    <row r="31" spans="1:36">
      <c r="A31" s="55" t="s">
        <v>11</v>
      </c>
      <c r="C31" s="85"/>
      <c r="D31" s="80"/>
      <c r="E31" s="86"/>
      <c r="F31" s="86"/>
      <c r="G31" s="87"/>
      <c r="H31" s="87"/>
      <c r="I31" s="110" t="s">
        <v>51</v>
      </c>
      <c r="J31" s="89"/>
      <c r="K31" s="84"/>
      <c r="M31" s="91"/>
      <c r="N31" s="91"/>
      <c r="O31" s="92"/>
      <c r="P31" s="92"/>
      <c r="Q31" s="92"/>
      <c r="R31" s="92"/>
      <c r="S31" s="92"/>
      <c r="T31" s="92"/>
      <c r="U31" s="92"/>
      <c r="V31" s="92"/>
      <c r="W31" s="92"/>
      <c r="X31" s="92"/>
      <c r="Y31" s="92"/>
      <c r="Z31" s="93"/>
      <c r="AA31" s="93"/>
      <c r="AB31" s="93"/>
      <c r="AC31" s="93"/>
      <c r="AD31" s="93"/>
      <c r="AE31" s="93"/>
      <c r="AF31" s="93"/>
      <c r="AG31" s="93"/>
    </row>
    <row r="32" spans="1:36">
      <c r="A32" s="55" t="s">
        <v>11</v>
      </c>
      <c r="C32" s="46" t="s">
        <v>60</v>
      </c>
      <c r="D32" s="34">
        <v>0.8</v>
      </c>
      <c r="E32" s="94"/>
      <c r="F32" s="46" t="s">
        <v>11</v>
      </c>
      <c r="G32" s="46"/>
      <c r="H32" s="95">
        <v>1</v>
      </c>
      <c r="I32" s="196" t="s">
        <v>211</v>
      </c>
      <c r="J32" s="170">
        <v>1427.26</v>
      </c>
      <c r="K32" s="12">
        <f t="shared" ref="K32:K37" si="20">J32*H32</f>
        <v>1427.26</v>
      </c>
      <c r="M32" s="4">
        <f t="shared" ref="M32:M37" si="21">IF($F32="X",J32,0)</f>
        <v>1427.26</v>
      </c>
      <c r="N32" s="4">
        <f t="shared" ref="N32:N37" si="22">IF(M32&lt;&gt;"",M32*Tax,0)</f>
        <v>110.61265</v>
      </c>
      <c r="O32" s="5">
        <f t="shared" ref="O32:O37" si="23">IF($F32&lt;&gt;"X",J32,0)</f>
        <v>0</v>
      </c>
      <c r="P32" s="5">
        <f t="shared" ref="P32:P37" si="24">IF($F32="X",K32,0)</f>
        <v>1427.26</v>
      </c>
      <c r="Q32" s="5">
        <f t="shared" ref="Q32:Q37" si="25">IF(P32&lt;&gt;"",P32*Tax,0)</f>
        <v>110.61265</v>
      </c>
      <c r="R32" s="5">
        <f t="shared" ref="R32:R37" si="26">IF(E32&lt;&gt;"",DGSFee*(K32),0)</f>
        <v>0</v>
      </c>
      <c r="S32" s="5">
        <f t="shared" ref="S32:S37" si="27">IF($F32&lt;&gt;"X",K32,0)</f>
        <v>0</v>
      </c>
      <c r="T32" s="5">
        <f t="shared" ref="T32:T37" si="28">IF($G32&gt;0,$K32,0)</f>
        <v>0</v>
      </c>
      <c r="U32" s="5">
        <f t="shared" ref="U32:U37" si="29">IF($G32&lt;1,$K32,0)</f>
        <v>1427.26</v>
      </c>
      <c r="V32" s="5">
        <f t="shared" ref="V32:V37" si="30">IF(DeprTax="Y",IF(G32&gt;0,Q32,0),0)</f>
        <v>0</v>
      </c>
      <c r="W32" s="5">
        <f t="shared" ref="W32:W37" si="31">IF(DeprTax="Y",IF(G32&gt;0,R32,0),0)</f>
        <v>0</v>
      </c>
      <c r="X32" s="5">
        <f t="shared" ref="X32:X37" si="32">D32*(K32+Q32+R32)</f>
        <v>1230.2981200000002</v>
      </c>
      <c r="Y32" s="5">
        <f t="shared" ref="Y32:Y37" si="33">IF($C32="CMP",$K32+$Q32+$R32,0)</f>
        <v>0</v>
      </c>
      <c r="Z32" s="5">
        <f t="shared" ref="Z32:Z37" si="34">IF($C32="CCS",$K32+$Q32+$R32,0)</f>
        <v>0</v>
      </c>
      <c r="AA32" s="5">
        <f t="shared" ref="AA32:AA37" si="35">IF($C32="Hrdw",$K32+$Q32+$R32,0)</f>
        <v>1537.87265</v>
      </c>
      <c r="AB32" s="5">
        <f t="shared" ref="AB32:AB37" si="36">IF($C32="Sftw",$K32+$Q32+$R32,0)</f>
        <v>0</v>
      </c>
      <c r="AC32" s="5">
        <f t="shared" ref="AC32:AC37" si="37">IF($C32="Trng",$K32+$Q32+$R32,0)</f>
        <v>0</v>
      </c>
      <c r="AD32" s="5">
        <f t="shared" ref="AD32:AD37" si="38">IF($C32="Ovrhd",$K32+$Q32+$R32,0)</f>
        <v>0</v>
      </c>
      <c r="AE32" s="5">
        <f t="shared" ref="AE32:AE37" si="39">IF($C32="Supp",$K32+$Q32+$R32,0)</f>
        <v>0</v>
      </c>
      <c r="AF32" s="5">
        <f t="shared" ref="AF32:AF37" si="40">IF($C32="Other",$K32+$Q32+$R32,0)</f>
        <v>0</v>
      </c>
      <c r="AG32" s="93"/>
    </row>
    <row r="33" spans="1:35">
      <c r="A33" s="55" t="s">
        <v>11</v>
      </c>
      <c r="C33" s="46" t="s">
        <v>60</v>
      </c>
      <c r="D33" s="34">
        <v>0.8</v>
      </c>
      <c r="E33" s="94"/>
      <c r="F33" s="46" t="s">
        <v>11</v>
      </c>
      <c r="G33" s="46"/>
      <c r="H33" s="95">
        <v>1</v>
      </c>
      <c r="I33" s="197" t="s">
        <v>212</v>
      </c>
      <c r="J33" s="170">
        <v>393.01</v>
      </c>
      <c r="K33" s="12">
        <f t="shared" si="20"/>
        <v>393.01</v>
      </c>
      <c r="M33" s="4">
        <f t="shared" si="21"/>
        <v>393.01</v>
      </c>
      <c r="N33" s="4">
        <f t="shared" si="22"/>
        <v>30.458275</v>
      </c>
      <c r="O33" s="5">
        <f t="shared" si="23"/>
        <v>0</v>
      </c>
      <c r="P33" s="5">
        <f t="shared" si="24"/>
        <v>393.01</v>
      </c>
      <c r="Q33" s="5">
        <f t="shared" si="25"/>
        <v>30.458275</v>
      </c>
      <c r="R33" s="5">
        <f t="shared" si="26"/>
        <v>0</v>
      </c>
      <c r="S33" s="5">
        <f t="shared" si="27"/>
        <v>0</v>
      </c>
      <c r="T33" s="5">
        <f t="shared" si="28"/>
        <v>0</v>
      </c>
      <c r="U33" s="5">
        <f t="shared" si="29"/>
        <v>393.01</v>
      </c>
      <c r="V33" s="5">
        <f t="shared" si="30"/>
        <v>0</v>
      </c>
      <c r="W33" s="5">
        <f t="shared" si="31"/>
        <v>0</v>
      </c>
      <c r="X33" s="5">
        <f t="shared" si="32"/>
        <v>338.77462000000003</v>
      </c>
      <c r="Y33" s="5">
        <f t="shared" si="33"/>
        <v>0</v>
      </c>
      <c r="Z33" s="5">
        <f t="shared" si="34"/>
        <v>0</v>
      </c>
      <c r="AA33" s="5">
        <f t="shared" si="35"/>
        <v>423.46827500000001</v>
      </c>
      <c r="AB33" s="5">
        <f t="shared" si="36"/>
        <v>0</v>
      </c>
      <c r="AC33" s="5">
        <f t="shared" si="37"/>
        <v>0</v>
      </c>
      <c r="AD33" s="5">
        <f t="shared" si="38"/>
        <v>0</v>
      </c>
      <c r="AE33" s="5">
        <f t="shared" si="39"/>
        <v>0</v>
      </c>
      <c r="AF33" s="5">
        <f t="shared" si="40"/>
        <v>0</v>
      </c>
      <c r="AG33" s="93"/>
    </row>
    <row r="34" spans="1:35">
      <c r="C34" s="46" t="s">
        <v>60</v>
      </c>
      <c r="D34" s="34">
        <v>0</v>
      </c>
      <c r="E34" s="94"/>
      <c r="F34" s="46" t="s">
        <v>11</v>
      </c>
      <c r="G34" s="46"/>
      <c r="H34" s="95">
        <v>1</v>
      </c>
      <c r="I34" s="172" t="s">
        <v>172</v>
      </c>
      <c r="J34" s="170">
        <v>208.07</v>
      </c>
      <c r="K34" s="12">
        <f t="shared" si="20"/>
        <v>208.07</v>
      </c>
      <c r="M34" s="4">
        <f t="shared" si="21"/>
        <v>208.07</v>
      </c>
      <c r="N34" s="4">
        <f t="shared" si="22"/>
        <v>16.125425</v>
      </c>
      <c r="O34" s="5">
        <f t="shared" si="23"/>
        <v>0</v>
      </c>
      <c r="P34" s="5">
        <f t="shared" si="24"/>
        <v>208.07</v>
      </c>
      <c r="Q34" s="5">
        <f t="shared" si="25"/>
        <v>16.125425</v>
      </c>
      <c r="R34" s="5">
        <f t="shared" si="26"/>
        <v>0</v>
      </c>
      <c r="S34" s="5">
        <f t="shared" si="27"/>
        <v>0</v>
      </c>
      <c r="T34" s="5">
        <f t="shared" si="28"/>
        <v>0</v>
      </c>
      <c r="U34" s="5">
        <f t="shared" si="29"/>
        <v>208.07</v>
      </c>
      <c r="V34" s="5">
        <f t="shared" si="30"/>
        <v>0</v>
      </c>
      <c r="W34" s="5">
        <f t="shared" si="31"/>
        <v>0</v>
      </c>
      <c r="X34" s="5">
        <f t="shared" si="32"/>
        <v>0</v>
      </c>
      <c r="Y34" s="5">
        <f t="shared" si="33"/>
        <v>0</v>
      </c>
      <c r="Z34" s="5">
        <f t="shared" si="34"/>
        <v>0</v>
      </c>
      <c r="AA34" s="5">
        <f t="shared" si="35"/>
        <v>224.195425</v>
      </c>
      <c r="AB34" s="5">
        <f t="shared" si="36"/>
        <v>0</v>
      </c>
      <c r="AC34" s="5">
        <f t="shared" si="37"/>
        <v>0</v>
      </c>
      <c r="AD34" s="5">
        <f t="shared" si="38"/>
        <v>0</v>
      </c>
      <c r="AE34" s="5">
        <f t="shared" si="39"/>
        <v>0</v>
      </c>
      <c r="AF34" s="5">
        <f t="shared" si="40"/>
        <v>0</v>
      </c>
      <c r="AG34" s="93"/>
    </row>
    <row r="35" spans="1:35">
      <c r="C35" s="46" t="s">
        <v>60</v>
      </c>
      <c r="D35" s="34">
        <v>0</v>
      </c>
      <c r="E35" s="94"/>
      <c r="F35" s="46" t="s">
        <v>11</v>
      </c>
      <c r="G35" s="46"/>
      <c r="H35" s="95">
        <v>1</v>
      </c>
      <c r="I35" s="172" t="s">
        <v>173</v>
      </c>
      <c r="J35" s="170">
        <v>104.95</v>
      </c>
      <c r="K35" s="12">
        <f t="shared" si="20"/>
        <v>104.95</v>
      </c>
      <c r="M35" s="4">
        <f t="shared" si="21"/>
        <v>104.95</v>
      </c>
      <c r="N35" s="4">
        <f t="shared" si="22"/>
        <v>8.1336250000000003</v>
      </c>
      <c r="O35" s="5">
        <f t="shared" si="23"/>
        <v>0</v>
      </c>
      <c r="P35" s="5">
        <f t="shared" si="24"/>
        <v>104.95</v>
      </c>
      <c r="Q35" s="5">
        <f t="shared" si="25"/>
        <v>8.1336250000000003</v>
      </c>
      <c r="R35" s="5">
        <f t="shared" si="26"/>
        <v>0</v>
      </c>
      <c r="S35" s="5">
        <f t="shared" si="27"/>
        <v>0</v>
      </c>
      <c r="T35" s="5">
        <f t="shared" si="28"/>
        <v>0</v>
      </c>
      <c r="U35" s="5">
        <f t="shared" si="29"/>
        <v>104.95</v>
      </c>
      <c r="V35" s="5">
        <f t="shared" si="30"/>
        <v>0</v>
      </c>
      <c r="W35" s="5">
        <f t="shared" si="31"/>
        <v>0</v>
      </c>
      <c r="X35" s="5">
        <f t="shared" si="32"/>
        <v>0</v>
      </c>
      <c r="Y35" s="5">
        <f t="shared" si="33"/>
        <v>0</v>
      </c>
      <c r="Z35" s="5">
        <f t="shared" si="34"/>
        <v>0</v>
      </c>
      <c r="AA35" s="5">
        <f t="shared" si="35"/>
        <v>113.083625</v>
      </c>
      <c r="AB35" s="5">
        <f t="shared" si="36"/>
        <v>0</v>
      </c>
      <c r="AC35" s="5">
        <f t="shared" si="37"/>
        <v>0</v>
      </c>
      <c r="AD35" s="5">
        <f t="shared" si="38"/>
        <v>0</v>
      </c>
      <c r="AE35" s="5">
        <f t="shared" si="39"/>
        <v>0</v>
      </c>
      <c r="AF35" s="5">
        <f t="shared" si="40"/>
        <v>0</v>
      </c>
      <c r="AG35" s="93"/>
    </row>
    <row r="36" spans="1:35">
      <c r="C36" s="46" t="s">
        <v>56</v>
      </c>
      <c r="D36" s="34">
        <v>0.8</v>
      </c>
      <c r="E36" s="94"/>
      <c r="F36" s="46"/>
      <c r="G36" s="46"/>
      <c r="H36" s="95">
        <v>1</v>
      </c>
      <c r="I36" s="172" t="s">
        <v>170</v>
      </c>
      <c r="J36" s="170">
        <v>110.59</v>
      </c>
      <c r="K36" s="12">
        <f>J36*H36</f>
        <v>110.59</v>
      </c>
      <c r="M36" s="4">
        <f t="shared" si="21"/>
        <v>0</v>
      </c>
      <c r="N36" s="4">
        <f t="shared" si="22"/>
        <v>0</v>
      </c>
      <c r="O36" s="5">
        <f t="shared" si="23"/>
        <v>110.59</v>
      </c>
      <c r="P36" s="5">
        <f t="shared" si="24"/>
        <v>0</v>
      </c>
      <c r="Q36" s="5">
        <f t="shared" si="25"/>
        <v>0</v>
      </c>
      <c r="R36" s="5">
        <f t="shared" si="26"/>
        <v>0</v>
      </c>
      <c r="S36" s="5">
        <f t="shared" si="27"/>
        <v>110.59</v>
      </c>
      <c r="T36" s="5">
        <f t="shared" si="28"/>
        <v>0</v>
      </c>
      <c r="U36" s="5">
        <f t="shared" si="29"/>
        <v>110.59</v>
      </c>
      <c r="V36" s="5">
        <f t="shared" si="30"/>
        <v>0</v>
      </c>
      <c r="W36" s="5">
        <f t="shared" si="31"/>
        <v>0</v>
      </c>
      <c r="X36" s="5">
        <f t="shared" si="32"/>
        <v>88.472000000000008</v>
      </c>
      <c r="Y36" s="5">
        <f t="shared" si="33"/>
        <v>0</v>
      </c>
      <c r="Z36" s="5">
        <f t="shared" si="34"/>
        <v>0</v>
      </c>
      <c r="AA36" s="5">
        <f t="shared" si="35"/>
        <v>0</v>
      </c>
      <c r="AB36" s="5">
        <f t="shared" si="36"/>
        <v>0</v>
      </c>
      <c r="AC36" s="5">
        <f t="shared" si="37"/>
        <v>0</v>
      </c>
      <c r="AD36" s="5">
        <f t="shared" si="38"/>
        <v>0</v>
      </c>
      <c r="AE36" s="5">
        <f t="shared" si="39"/>
        <v>0</v>
      </c>
      <c r="AF36" s="5">
        <f t="shared" si="40"/>
        <v>110.59</v>
      </c>
      <c r="AG36" s="93"/>
    </row>
    <row r="37" spans="1:35">
      <c r="A37" s="55" t="s">
        <v>11</v>
      </c>
      <c r="C37" s="46" t="s">
        <v>56</v>
      </c>
      <c r="D37" s="34">
        <v>0.8</v>
      </c>
      <c r="E37" s="94"/>
      <c r="F37" s="46"/>
      <c r="G37" s="46"/>
      <c r="H37" s="95">
        <v>1</v>
      </c>
      <c r="I37" s="172" t="s">
        <v>171</v>
      </c>
      <c r="J37" s="170">
        <v>59.84</v>
      </c>
      <c r="K37" s="12">
        <f t="shared" si="20"/>
        <v>59.84</v>
      </c>
      <c r="M37" s="4">
        <f t="shared" si="21"/>
        <v>0</v>
      </c>
      <c r="N37" s="4">
        <f t="shared" si="22"/>
        <v>0</v>
      </c>
      <c r="O37" s="5">
        <f t="shared" si="23"/>
        <v>59.84</v>
      </c>
      <c r="P37" s="5">
        <f t="shared" si="24"/>
        <v>0</v>
      </c>
      <c r="Q37" s="5">
        <f t="shared" si="25"/>
        <v>0</v>
      </c>
      <c r="R37" s="5">
        <f t="shared" si="26"/>
        <v>0</v>
      </c>
      <c r="S37" s="5">
        <f t="shared" si="27"/>
        <v>59.84</v>
      </c>
      <c r="T37" s="5">
        <f t="shared" si="28"/>
        <v>0</v>
      </c>
      <c r="U37" s="5">
        <f t="shared" si="29"/>
        <v>59.84</v>
      </c>
      <c r="V37" s="5">
        <f t="shared" si="30"/>
        <v>0</v>
      </c>
      <c r="W37" s="5">
        <f t="shared" si="31"/>
        <v>0</v>
      </c>
      <c r="X37" s="5">
        <f t="shared" si="32"/>
        <v>47.872000000000007</v>
      </c>
      <c r="Y37" s="5">
        <f t="shared" si="33"/>
        <v>0</v>
      </c>
      <c r="Z37" s="5">
        <f t="shared" si="34"/>
        <v>0</v>
      </c>
      <c r="AA37" s="5">
        <f t="shared" si="35"/>
        <v>0</v>
      </c>
      <c r="AB37" s="5">
        <f t="shared" si="36"/>
        <v>0</v>
      </c>
      <c r="AC37" s="5">
        <f t="shared" si="37"/>
        <v>0</v>
      </c>
      <c r="AD37" s="5">
        <f t="shared" si="38"/>
        <v>0</v>
      </c>
      <c r="AE37" s="5">
        <f t="shared" si="39"/>
        <v>0</v>
      </c>
      <c r="AF37" s="5">
        <f t="shared" si="40"/>
        <v>59.84</v>
      </c>
      <c r="AG37" s="93"/>
    </row>
    <row r="38" spans="1:35">
      <c r="C38" s="79"/>
      <c r="D38" s="80"/>
      <c r="E38" s="80"/>
      <c r="F38" s="80"/>
      <c r="G38" s="80"/>
      <c r="H38" s="102"/>
      <c r="I38" s="103" t="s">
        <v>12</v>
      </c>
      <c r="J38" s="9">
        <f>SUM(M32:M37)</f>
        <v>2133.29</v>
      </c>
      <c r="K38" s="9">
        <f>SUM(P32:P37)</f>
        <v>2133.29</v>
      </c>
      <c r="M38" s="104"/>
      <c r="N38" s="104"/>
      <c r="O38" s="105"/>
      <c r="P38" s="104"/>
      <c r="Q38" s="104"/>
      <c r="R38" s="104"/>
      <c r="S38" s="105"/>
      <c r="T38" s="105"/>
      <c r="U38" s="105"/>
      <c r="V38" s="105"/>
      <c r="W38" s="105"/>
      <c r="X38" s="105"/>
      <c r="Y38" s="105"/>
      <c r="Z38" s="105"/>
      <c r="AA38" s="105"/>
      <c r="AB38" s="105"/>
      <c r="AC38" s="105"/>
      <c r="AD38" s="105"/>
      <c r="AE38" s="105"/>
      <c r="AF38" s="105"/>
      <c r="AG38" s="93"/>
      <c r="AI38" s="55"/>
    </row>
    <row r="39" spans="1:35">
      <c r="C39" s="79"/>
      <c r="D39" s="80"/>
      <c r="E39" s="80"/>
      <c r="F39" s="80"/>
      <c r="G39" s="111"/>
      <c r="H39" s="112"/>
      <c r="I39" s="108" t="s">
        <v>13</v>
      </c>
      <c r="J39" s="9">
        <f>J37+J36</f>
        <v>170.43</v>
      </c>
      <c r="K39" s="9">
        <f>K37+K36</f>
        <v>170.43</v>
      </c>
      <c r="M39" s="106"/>
      <c r="N39" s="106"/>
      <c r="O39" s="93"/>
      <c r="P39" s="93"/>
      <c r="Q39" s="93"/>
      <c r="R39" s="93"/>
      <c r="S39" s="106"/>
      <c r="T39" s="106"/>
      <c r="U39" s="106"/>
      <c r="V39" s="106"/>
      <c r="W39" s="106"/>
      <c r="X39" s="106"/>
      <c r="Y39" s="106"/>
      <c r="Z39" s="106"/>
      <c r="AA39" s="106"/>
      <c r="AB39" s="106"/>
      <c r="AC39" s="106"/>
      <c r="AD39" s="106"/>
      <c r="AE39" s="106"/>
      <c r="AF39" s="106"/>
      <c r="AG39" s="106"/>
      <c r="AI39" s="55"/>
    </row>
    <row r="40" spans="1:35">
      <c r="C40" s="79"/>
      <c r="D40" s="80"/>
      <c r="E40" s="80"/>
      <c r="F40" s="80"/>
      <c r="G40" s="80"/>
      <c r="H40" s="102"/>
      <c r="I40" s="3" t="str">
        <f>CONCATENATE("Tax (",TEXT(Tax,"0.00#%"),")")</f>
        <v>Tax (7.75%)</v>
      </c>
      <c r="J40" s="9">
        <f>Tax*J38</f>
        <v>165.32997499999999</v>
      </c>
      <c r="K40" s="9">
        <f>Tax*K38</f>
        <v>165.32997499999999</v>
      </c>
      <c r="M40" s="106"/>
      <c r="N40" s="106"/>
      <c r="O40" s="93"/>
      <c r="P40" s="93"/>
      <c r="Q40" s="106"/>
      <c r="R40" s="106"/>
      <c r="S40" s="93"/>
      <c r="T40" s="106"/>
      <c r="U40" s="106"/>
      <c r="V40" s="106"/>
      <c r="W40" s="106"/>
      <c r="X40" s="106"/>
      <c r="Y40" s="106"/>
      <c r="Z40" s="106"/>
      <c r="AA40" s="106"/>
      <c r="AB40" s="106"/>
      <c r="AC40" s="106"/>
      <c r="AD40" s="106"/>
      <c r="AE40" s="106"/>
      <c r="AF40" s="106"/>
      <c r="AG40" s="106"/>
      <c r="AI40" s="55"/>
    </row>
    <row r="41" spans="1:35">
      <c r="C41" s="79"/>
      <c r="D41" s="80"/>
      <c r="E41" s="80"/>
      <c r="F41" s="80"/>
      <c r="G41" s="80"/>
      <c r="H41" s="102"/>
      <c r="I41" s="3" t="str">
        <f>CONCATENATE("DGS Fee (",TEXT(DGSFee,"0.00#%"),")")</f>
        <v>DGS Fee (0.00%)</v>
      </c>
      <c r="J41" s="97"/>
      <c r="K41" s="9">
        <f>SUM(R32:R37)</f>
        <v>0</v>
      </c>
      <c r="M41" s="106"/>
      <c r="N41" s="106"/>
      <c r="O41" s="93"/>
      <c r="P41" s="93"/>
      <c r="Q41" s="93"/>
      <c r="R41" s="93"/>
      <c r="S41" s="106"/>
      <c r="T41" s="106"/>
      <c r="U41" s="106"/>
      <c r="V41" s="106"/>
      <c r="W41" s="106"/>
      <c r="X41" s="106"/>
      <c r="Y41" s="106"/>
      <c r="Z41" s="106"/>
      <c r="AA41" s="106"/>
      <c r="AB41" s="106"/>
      <c r="AC41" s="106"/>
      <c r="AD41" s="106"/>
      <c r="AE41" s="106"/>
      <c r="AF41" s="106"/>
      <c r="AG41" s="106"/>
      <c r="AI41" s="55"/>
    </row>
    <row r="42" spans="1:35">
      <c r="C42" s="79"/>
      <c r="D42" s="80"/>
      <c r="E42" s="80"/>
      <c r="F42" s="80"/>
      <c r="G42" s="80"/>
      <c r="H42" s="102"/>
      <c r="I42" s="103" t="s">
        <v>14</v>
      </c>
      <c r="J42" s="9">
        <f>SUM(J38:J41)</f>
        <v>2469.0499749999999</v>
      </c>
      <c r="K42" s="9">
        <f>SUM(K38:K41)</f>
        <v>2469.0499749999999</v>
      </c>
      <c r="M42" s="106"/>
      <c r="N42" s="106"/>
      <c r="O42" s="93"/>
      <c r="P42" s="93"/>
      <c r="Q42" s="106"/>
      <c r="R42" s="106"/>
      <c r="S42" s="93"/>
      <c r="T42" s="106"/>
      <c r="U42" s="106"/>
      <c r="V42" s="106"/>
      <c r="W42" s="106"/>
      <c r="X42" s="106"/>
      <c r="Y42" s="106"/>
      <c r="Z42" s="106"/>
      <c r="AA42" s="106"/>
      <c r="AB42" s="106"/>
      <c r="AC42" s="106"/>
      <c r="AD42" s="106"/>
      <c r="AE42" s="106"/>
      <c r="AF42" s="106"/>
      <c r="AG42" s="106"/>
      <c r="AI42" s="55"/>
    </row>
    <row r="43" spans="1:35">
      <c r="C43" s="79"/>
      <c r="D43" s="80"/>
      <c r="E43" s="80"/>
      <c r="F43" s="80"/>
      <c r="G43" s="80"/>
      <c r="H43" s="113"/>
      <c r="I43" s="114"/>
      <c r="J43" s="115"/>
      <c r="K43" s="115"/>
      <c r="L43" s="79"/>
      <c r="M43" s="106"/>
      <c r="N43" s="106"/>
      <c r="O43" s="93"/>
      <c r="P43" s="93"/>
      <c r="Q43" s="93"/>
      <c r="R43" s="93"/>
      <c r="S43" s="93"/>
      <c r="T43" s="93"/>
      <c r="U43" s="93"/>
      <c r="V43" s="93"/>
      <c r="W43" s="93"/>
      <c r="X43" s="93"/>
      <c r="Y43" s="93"/>
      <c r="Z43" s="93"/>
      <c r="AA43" s="93"/>
      <c r="AB43" s="93"/>
      <c r="AC43" s="93"/>
      <c r="AD43" s="93"/>
      <c r="AE43" s="93"/>
      <c r="AF43" s="93"/>
      <c r="AG43" s="93"/>
      <c r="AI43" s="55"/>
    </row>
    <row r="44" spans="1:35">
      <c r="B44" s="116" t="s">
        <v>26</v>
      </c>
      <c r="C44" s="79"/>
      <c r="D44" s="80"/>
      <c r="E44" s="80"/>
      <c r="F44" s="80"/>
      <c r="G44" s="80"/>
      <c r="H44" s="102"/>
      <c r="I44" s="117" t="s">
        <v>27</v>
      </c>
      <c r="J44" s="118"/>
      <c r="K44" s="164">
        <f>S44</f>
        <v>362.01</v>
      </c>
      <c r="M44" s="99"/>
      <c r="N44" s="99"/>
      <c r="O44" s="5">
        <f>SUM(O4:O43)</f>
        <v>362.01</v>
      </c>
      <c r="P44" s="99"/>
      <c r="Q44" s="99"/>
      <c r="R44" s="99"/>
      <c r="S44" s="5">
        <f>SUM(S4:S43)</f>
        <v>362.01</v>
      </c>
      <c r="T44" s="99"/>
      <c r="U44" s="99"/>
      <c r="V44" s="127"/>
      <c r="W44" s="127"/>
      <c r="X44" s="127"/>
      <c r="Y44" s="5">
        <f t="shared" ref="Y44:AF44" si="41">SUM(Y4:Y43)</f>
        <v>0</v>
      </c>
      <c r="Z44" s="5">
        <f t="shared" si="41"/>
        <v>0</v>
      </c>
      <c r="AA44" s="5">
        <f t="shared" si="41"/>
        <v>2298.6199750000001</v>
      </c>
      <c r="AB44" s="5">
        <f t="shared" si="41"/>
        <v>191.58</v>
      </c>
      <c r="AC44" s="5">
        <f t="shared" si="41"/>
        <v>0</v>
      </c>
      <c r="AD44" s="5">
        <f t="shared" si="41"/>
        <v>0</v>
      </c>
      <c r="AE44" s="5">
        <f t="shared" si="41"/>
        <v>0</v>
      </c>
      <c r="AF44" s="5">
        <f t="shared" si="41"/>
        <v>170.43</v>
      </c>
      <c r="AG44" s="119"/>
      <c r="AI44" s="55"/>
    </row>
    <row r="45" spans="1:35">
      <c r="B45" s="116" t="s">
        <v>32</v>
      </c>
      <c r="C45" s="79"/>
      <c r="D45" s="80"/>
      <c r="E45" s="80"/>
      <c r="F45" s="80"/>
      <c r="G45" s="80"/>
      <c r="H45" s="113"/>
      <c r="I45" s="103" t="s">
        <v>15</v>
      </c>
      <c r="J45" s="97"/>
      <c r="K45" s="9">
        <f>P45</f>
        <v>2133.29</v>
      </c>
      <c r="M45" s="5">
        <f>SUM(M4:M43)</f>
        <v>2133.29</v>
      </c>
      <c r="N45" s="98"/>
      <c r="O45" s="99"/>
      <c r="P45" s="5">
        <f>SUM(P4:P43)</f>
        <v>2133.29</v>
      </c>
      <c r="Q45" s="99"/>
      <c r="R45" s="99"/>
      <c r="S45" s="99"/>
      <c r="T45" s="99"/>
      <c r="U45" s="99"/>
      <c r="V45" s="120"/>
      <c r="W45" s="120"/>
      <c r="X45" s="120"/>
      <c r="Y45" s="120"/>
      <c r="Z45" s="120"/>
      <c r="AA45" s="120"/>
      <c r="AB45" s="120"/>
      <c r="AC45" s="120"/>
      <c r="AD45" s="120"/>
      <c r="AE45" s="120"/>
      <c r="AF45" s="120"/>
      <c r="AG45" s="121"/>
      <c r="AI45" s="55"/>
    </row>
    <row r="46" spans="1:35">
      <c r="B46" s="116">
        <v>1</v>
      </c>
      <c r="C46" s="79"/>
      <c r="D46" s="80"/>
      <c r="E46" s="80"/>
      <c r="F46" s="80"/>
      <c r="G46" s="122"/>
      <c r="H46" s="113"/>
      <c r="I46" s="3" t="str">
        <f>CONCATENATE("Tax Total (",TEXT(Tax,"0.00#%"),")")</f>
        <v>Tax Total (7.75%)</v>
      </c>
      <c r="J46" s="97"/>
      <c r="K46" s="9">
        <f>Q46</f>
        <v>165.32997499999999</v>
      </c>
      <c r="M46" s="98"/>
      <c r="N46" s="5">
        <f>SUM(N4:N43)</f>
        <v>165.32997499999999</v>
      </c>
      <c r="O46" s="99"/>
      <c r="P46" s="99"/>
      <c r="Q46" s="5">
        <f>SUM(Q4:Q43)</f>
        <v>165.32997499999999</v>
      </c>
      <c r="R46" s="99"/>
      <c r="S46" s="99"/>
      <c r="T46" s="99"/>
      <c r="U46" s="99"/>
      <c r="V46" s="120"/>
      <c r="W46" s="120"/>
      <c r="X46" s="120"/>
      <c r="Y46" s="120"/>
      <c r="Z46" s="120"/>
      <c r="AA46" s="120"/>
      <c r="AB46" s="120"/>
      <c r="AC46" s="120"/>
      <c r="AD46" s="120"/>
      <c r="AE46" s="120"/>
      <c r="AF46" s="120"/>
      <c r="AG46" s="121"/>
      <c r="AI46" s="55"/>
    </row>
    <row r="47" spans="1:35">
      <c r="B47" s="116">
        <v>2</v>
      </c>
      <c r="C47" s="79"/>
      <c r="D47" s="80"/>
      <c r="E47" s="80"/>
      <c r="F47" s="80"/>
      <c r="G47" s="122"/>
      <c r="H47" s="113"/>
      <c r="I47" s="3" t="str">
        <f>CONCATENATE("DGS Fee Total (",TEXT(DGSFee,"0.00#%"),")")</f>
        <v>DGS Fee Total (0.00%)</v>
      </c>
      <c r="J47" s="123"/>
      <c r="K47" s="9">
        <f>R47</f>
        <v>0</v>
      </c>
      <c r="M47" s="98"/>
      <c r="N47" s="99"/>
      <c r="O47" s="99"/>
      <c r="P47" s="99"/>
      <c r="Q47" s="99"/>
      <c r="R47" s="5">
        <f>SUM(R4:R43)</f>
        <v>0</v>
      </c>
      <c r="S47" s="99"/>
      <c r="T47" s="99"/>
      <c r="U47" s="99"/>
      <c r="V47" s="120"/>
      <c r="W47" s="120"/>
      <c r="X47" s="120"/>
      <c r="Y47" s="120"/>
      <c r="Z47" s="120"/>
      <c r="AA47" s="120"/>
      <c r="AB47" s="120"/>
      <c r="AC47" s="120"/>
      <c r="AD47" s="120"/>
      <c r="AE47" s="120"/>
      <c r="AF47" s="120"/>
      <c r="AG47" s="121"/>
      <c r="AI47" s="55"/>
    </row>
    <row r="48" spans="1:35">
      <c r="B48" s="116">
        <v>3</v>
      </c>
      <c r="C48" s="79"/>
      <c r="D48" s="80"/>
      <c r="E48" s="80"/>
      <c r="F48" s="80"/>
      <c r="G48" s="80"/>
      <c r="H48" s="113"/>
      <c r="I48" s="124" t="s">
        <v>16</v>
      </c>
      <c r="J48" s="125"/>
      <c r="K48" s="13">
        <f>SUM(K44:K47)</f>
        <v>2660.6299750000003</v>
      </c>
      <c r="M48" s="98"/>
      <c r="N48" s="98"/>
      <c r="O48" s="99"/>
      <c r="P48" s="99"/>
      <c r="Q48" s="99"/>
      <c r="R48" s="99"/>
      <c r="S48" s="99"/>
      <c r="T48" s="99"/>
      <c r="U48" s="99"/>
      <c r="V48" s="120"/>
      <c r="W48" s="120"/>
      <c r="X48" s="120"/>
      <c r="Y48" s="120"/>
      <c r="Z48" s="120"/>
      <c r="AA48" s="120"/>
      <c r="AB48" s="120"/>
      <c r="AC48" s="120"/>
      <c r="AD48" s="120"/>
      <c r="AE48" s="120"/>
      <c r="AF48" s="120"/>
      <c r="AG48" s="121"/>
      <c r="AI48" s="55"/>
    </row>
    <row r="49" spans="2:35">
      <c r="B49" s="116">
        <v>4</v>
      </c>
      <c r="C49" s="79"/>
      <c r="D49" s="80"/>
      <c r="E49" s="80"/>
      <c r="F49" s="80"/>
      <c r="G49" s="80"/>
      <c r="H49" s="80"/>
      <c r="I49" s="108" t="s">
        <v>17</v>
      </c>
      <c r="J49" s="97"/>
      <c r="K49" s="9">
        <f>T49</f>
        <v>0</v>
      </c>
      <c r="M49" s="99"/>
      <c r="N49" s="99"/>
      <c r="O49" s="99"/>
      <c r="P49" s="99"/>
      <c r="Q49" s="99"/>
      <c r="R49" s="99"/>
      <c r="S49" s="99"/>
      <c r="T49" s="5">
        <f>SUM(T4:T43)</f>
        <v>0</v>
      </c>
      <c r="U49" s="99"/>
      <c r="V49" s="99"/>
      <c r="W49" s="99"/>
      <c r="X49" s="99"/>
      <c r="Y49" s="99"/>
      <c r="Z49" s="99"/>
      <c r="AA49" s="99"/>
      <c r="AB49" s="99"/>
      <c r="AC49" s="99"/>
      <c r="AD49" s="99"/>
      <c r="AE49" s="99"/>
      <c r="AF49" s="99"/>
      <c r="AG49" s="93"/>
      <c r="AI49" s="55"/>
    </row>
    <row r="50" spans="2:35">
      <c r="B50" s="116">
        <v>5</v>
      </c>
      <c r="C50" s="79"/>
      <c r="D50" s="80"/>
      <c r="E50" s="80"/>
      <c r="F50" s="80"/>
      <c r="G50" s="80"/>
      <c r="H50" s="80"/>
      <c r="I50" s="108" t="s">
        <v>36</v>
      </c>
      <c r="J50" s="97"/>
      <c r="K50" s="9">
        <f>IF(DeprTax="Y",(V50+W50),(0))</f>
        <v>0</v>
      </c>
      <c r="M50" s="99"/>
      <c r="N50" s="99"/>
      <c r="O50" s="99"/>
      <c r="P50" s="99"/>
      <c r="Q50" s="99"/>
      <c r="R50" s="99"/>
      <c r="S50" s="99"/>
      <c r="T50" s="99"/>
      <c r="U50" s="99"/>
      <c r="V50" s="5">
        <f>SUM(V4:V43)</f>
        <v>0</v>
      </c>
      <c r="W50" s="5">
        <f>SUM(W4:W43)</f>
        <v>0</v>
      </c>
      <c r="X50" s="99"/>
      <c r="Y50" s="99"/>
      <c r="Z50" s="99"/>
      <c r="AA50" s="99"/>
      <c r="AB50" s="99"/>
      <c r="AC50" s="99"/>
      <c r="AD50" s="99"/>
      <c r="AE50" s="99"/>
      <c r="AF50" s="99"/>
      <c r="AG50" s="93"/>
      <c r="AI50" s="55"/>
    </row>
    <row r="51" spans="2:35">
      <c r="B51" s="116">
        <v>6</v>
      </c>
      <c r="C51" s="79"/>
      <c r="D51" s="80"/>
      <c r="E51" s="80"/>
      <c r="F51" s="80"/>
      <c r="G51" s="80"/>
      <c r="H51" s="80"/>
      <c r="I51" s="108" t="s">
        <v>28</v>
      </c>
      <c r="J51" s="97"/>
      <c r="K51" s="9">
        <f>SUM(K49:K50)</f>
        <v>0</v>
      </c>
      <c r="M51" s="99"/>
      <c r="N51" s="99"/>
      <c r="O51" s="99"/>
      <c r="P51" s="99"/>
      <c r="Q51" s="99"/>
      <c r="R51" s="99"/>
      <c r="S51" s="99"/>
      <c r="T51" s="99"/>
      <c r="U51" s="99"/>
      <c r="V51" s="99"/>
      <c r="W51" s="99"/>
      <c r="X51" s="99"/>
      <c r="Y51" s="99"/>
      <c r="Z51" s="99"/>
      <c r="AA51" s="99"/>
      <c r="AB51" s="99"/>
      <c r="AC51" s="99"/>
      <c r="AD51" s="99"/>
      <c r="AE51" s="99"/>
      <c r="AF51" s="99"/>
      <c r="AG51" s="93"/>
      <c r="AI51" s="55"/>
    </row>
    <row r="52" spans="2:35">
      <c r="B52" s="116">
        <v>7</v>
      </c>
      <c r="C52" s="79"/>
      <c r="D52" s="80"/>
      <c r="E52" s="80"/>
      <c r="F52" s="80"/>
      <c r="G52" s="80"/>
      <c r="H52" s="80"/>
      <c r="I52" s="108" t="s">
        <v>18</v>
      </c>
      <c r="J52" s="97"/>
      <c r="K52" s="9">
        <f>U52</f>
        <v>2495.3000000000002</v>
      </c>
      <c r="M52" s="99"/>
      <c r="N52" s="99"/>
      <c r="O52" s="99"/>
      <c r="P52" s="99"/>
      <c r="Q52" s="99"/>
      <c r="R52" s="99"/>
      <c r="S52" s="99"/>
      <c r="T52" s="99"/>
      <c r="U52" s="5">
        <f>SUM(U4:U43)</f>
        <v>2495.3000000000002</v>
      </c>
      <c r="V52" s="99"/>
      <c r="W52" s="99"/>
      <c r="X52" s="99"/>
      <c r="Y52" s="99"/>
      <c r="Z52" s="99"/>
      <c r="AA52" s="99"/>
      <c r="AB52" s="99"/>
      <c r="AC52" s="99"/>
      <c r="AD52" s="99"/>
      <c r="AE52" s="99"/>
      <c r="AF52" s="99"/>
      <c r="AG52" s="93"/>
      <c r="AI52" s="55"/>
    </row>
    <row r="53" spans="2:35">
      <c r="B53" s="116">
        <v>8</v>
      </c>
      <c r="C53" s="79"/>
      <c r="D53" s="80"/>
      <c r="E53" s="80"/>
      <c r="F53" s="80"/>
      <c r="G53" s="80"/>
      <c r="H53" s="80"/>
      <c r="I53" s="108" t="s">
        <v>37</v>
      </c>
      <c r="J53" s="97"/>
      <c r="K53" s="9">
        <f>IF(DeprTax="Y",(K46+K47-K50),(K46+K47))</f>
        <v>165.32997499999999</v>
      </c>
      <c r="M53" s="99"/>
      <c r="N53" s="99"/>
      <c r="O53" s="99"/>
      <c r="P53" s="99"/>
      <c r="Q53" s="99"/>
      <c r="R53" s="99"/>
      <c r="S53" s="99"/>
      <c r="T53" s="99"/>
      <c r="U53" s="99"/>
      <c r="V53" s="99"/>
      <c r="W53" s="99"/>
      <c r="X53" s="99"/>
      <c r="Y53" s="99"/>
      <c r="Z53" s="99"/>
      <c r="AA53" s="99"/>
      <c r="AB53" s="99"/>
      <c r="AC53" s="99"/>
      <c r="AD53" s="99"/>
      <c r="AE53" s="99"/>
      <c r="AF53" s="99"/>
      <c r="AG53" s="93"/>
      <c r="AI53" s="55"/>
    </row>
    <row r="54" spans="2:35">
      <c r="B54" s="116">
        <v>9</v>
      </c>
      <c r="C54" s="79"/>
      <c r="D54" s="80"/>
      <c r="E54" s="80"/>
      <c r="F54" s="80"/>
      <c r="G54" s="80"/>
      <c r="H54" s="80"/>
      <c r="I54" s="108" t="s">
        <v>29</v>
      </c>
      <c r="J54" s="97"/>
      <c r="K54" s="9">
        <f>SUM(K52:K53)</f>
        <v>2660.6299750000003</v>
      </c>
      <c r="M54" s="99"/>
      <c r="N54" s="99"/>
      <c r="O54" s="126"/>
      <c r="P54" s="126"/>
      <c r="Q54" s="126"/>
      <c r="R54" s="126"/>
      <c r="S54" s="126"/>
      <c r="T54" s="126"/>
      <c r="U54" s="99"/>
      <c r="V54" s="127"/>
      <c r="W54" s="127"/>
      <c r="X54" s="5">
        <f>SUM(X4:X43)</f>
        <v>1705.4167400000001</v>
      </c>
      <c r="Y54" s="99"/>
      <c r="Z54" s="99"/>
      <c r="AA54" s="99"/>
      <c r="AB54" s="99"/>
      <c r="AC54" s="99"/>
      <c r="AD54" s="99"/>
      <c r="AE54" s="99"/>
      <c r="AF54" s="99"/>
      <c r="AG54" s="119"/>
      <c r="AI54" s="55"/>
    </row>
    <row r="55" spans="2:35">
      <c r="B55" s="116">
        <v>10</v>
      </c>
      <c r="C55" s="79"/>
      <c r="D55" s="80"/>
      <c r="E55" s="80"/>
      <c r="F55" s="80"/>
      <c r="G55" s="80"/>
      <c r="H55" s="80"/>
      <c r="I55" s="124" t="s">
        <v>104</v>
      </c>
      <c r="J55" s="125"/>
      <c r="K55" s="14">
        <f>IF(ISERROR(X54/K48),0,(X54/K48))</f>
        <v>0.64098230720714933</v>
      </c>
      <c r="M55" s="93"/>
      <c r="N55" s="93"/>
      <c r="O55" s="128"/>
      <c r="P55" s="128"/>
      <c r="Q55" s="128"/>
      <c r="R55" s="128"/>
      <c r="S55" s="128"/>
      <c r="T55" s="128"/>
      <c r="U55" s="93"/>
      <c r="V55" s="119"/>
      <c r="W55" s="119"/>
      <c r="X55" s="119"/>
      <c r="Y55" s="119"/>
      <c r="Z55" s="119"/>
      <c r="AA55" s="119"/>
      <c r="AB55" s="119"/>
      <c r="AC55" s="119"/>
      <c r="AD55" s="119"/>
      <c r="AE55" s="119"/>
      <c r="AF55" s="119"/>
      <c r="AG55" s="119"/>
      <c r="AI55" s="55"/>
    </row>
    <row r="56" spans="2:35">
      <c r="B56" s="116">
        <v>11</v>
      </c>
      <c r="C56" s="79"/>
      <c r="D56" s="80"/>
      <c r="E56" s="80"/>
      <c r="F56" s="80"/>
      <c r="G56" s="80"/>
      <c r="H56" s="80"/>
      <c r="I56" s="129" t="s">
        <v>105</v>
      </c>
      <c r="J56" s="125"/>
      <c r="K56" s="9">
        <f>X54</f>
        <v>1705.4167400000001</v>
      </c>
      <c r="M56" s="93"/>
      <c r="N56" s="93"/>
      <c r="O56" s="128"/>
      <c r="P56" s="128"/>
      <c r="Q56" s="128"/>
      <c r="R56" s="128"/>
      <c r="S56" s="128"/>
      <c r="T56" s="128"/>
      <c r="U56" s="93"/>
      <c r="V56" s="119"/>
      <c r="W56" s="119"/>
      <c r="X56" s="119"/>
      <c r="Y56" s="119"/>
      <c r="Z56" s="119"/>
      <c r="AA56" s="119"/>
      <c r="AB56" s="119"/>
      <c r="AC56" s="119"/>
      <c r="AD56" s="119"/>
      <c r="AE56" s="119"/>
      <c r="AF56" s="119"/>
      <c r="AG56" s="119"/>
      <c r="AI56" s="55"/>
    </row>
    <row r="57" spans="2:35">
      <c r="B57" s="116">
        <v>12</v>
      </c>
      <c r="C57" s="79"/>
      <c r="D57" s="80"/>
      <c r="E57" s="80"/>
      <c r="F57" s="80"/>
      <c r="G57" s="80"/>
      <c r="H57" s="80"/>
      <c r="I57" s="130"/>
      <c r="J57" s="131"/>
      <c r="K57" s="132"/>
      <c r="S57" s="133" t="s">
        <v>20</v>
      </c>
      <c r="T57" s="133" t="s">
        <v>30</v>
      </c>
      <c r="U57" s="133" t="s">
        <v>69</v>
      </c>
      <c r="V57" s="133" t="s">
        <v>70</v>
      </c>
    </row>
    <row r="58" spans="2:35">
      <c r="B58" s="116"/>
      <c r="C58" s="79"/>
      <c r="D58" s="80"/>
      <c r="E58" s="80"/>
      <c r="F58" s="80"/>
      <c r="G58" s="80"/>
      <c r="H58" s="80"/>
      <c r="I58" s="103" t="s">
        <v>19</v>
      </c>
      <c r="J58" s="134">
        <v>7.7499999999999999E-2</v>
      </c>
      <c r="K58" s="135"/>
      <c r="N58" s="136"/>
      <c r="O58" s="137"/>
      <c r="P58" s="136"/>
      <c r="Q58" s="136" t="s">
        <v>64</v>
      </c>
      <c r="R58" s="136"/>
      <c r="S58" s="6">
        <f>SUM(T58:V58)</f>
        <v>0</v>
      </c>
      <c r="T58" s="6">
        <f>SUMIF(G4:G43,"=1",T4:T43)</f>
        <v>0</v>
      </c>
      <c r="U58" s="6">
        <f>SUMIF(G4:G43,"=1",V4:V43)</f>
        <v>0</v>
      </c>
      <c r="V58" s="6">
        <f>SUMIF(G4:G43,"=1",W4:W43)</f>
        <v>0</v>
      </c>
      <c r="W58" s="136"/>
      <c r="X58" s="136"/>
      <c r="Y58" s="136"/>
      <c r="Z58" s="136"/>
      <c r="AA58" s="136"/>
      <c r="AB58" s="136"/>
      <c r="AC58" s="136"/>
      <c r="AD58" s="136"/>
      <c r="AE58" s="136"/>
      <c r="AF58" s="136"/>
      <c r="AG58" s="136"/>
    </row>
    <row r="59" spans="2:35">
      <c r="B59" s="116" t="s">
        <v>11</v>
      </c>
      <c r="C59" s="79"/>
      <c r="D59" s="80"/>
      <c r="E59" s="80"/>
      <c r="F59" s="80"/>
      <c r="G59" s="80"/>
      <c r="H59" s="80"/>
      <c r="I59" s="103" t="s">
        <v>38</v>
      </c>
      <c r="J59" s="138" t="s">
        <v>26</v>
      </c>
      <c r="K59" s="46"/>
      <c r="N59" s="136"/>
      <c r="O59" s="137"/>
      <c r="P59" s="136"/>
      <c r="Q59" s="136" t="s">
        <v>65</v>
      </c>
      <c r="R59" s="136"/>
      <c r="S59" s="6">
        <f>SUM(T59:V59)</f>
        <v>0</v>
      </c>
      <c r="T59" s="6">
        <f>SUMIF(G4:G43,"=2",T4:T43)</f>
        <v>0</v>
      </c>
      <c r="U59" s="6">
        <f>SUMIF(G4:G43,"=2",V4:V43)</f>
        <v>0</v>
      </c>
      <c r="V59" s="6">
        <f>SUMIF(G4:G43,"=2",W4:W43)</f>
        <v>0</v>
      </c>
      <c r="W59" s="136"/>
      <c r="X59" s="136"/>
      <c r="Y59" s="136"/>
      <c r="Z59" s="136"/>
      <c r="AA59" s="136"/>
      <c r="AB59" s="136"/>
      <c r="AC59" s="136"/>
      <c r="AD59" s="136"/>
      <c r="AE59" s="136"/>
      <c r="AF59" s="136"/>
      <c r="AG59" s="136"/>
    </row>
    <row r="60" spans="2:35">
      <c r="B60" s="116"/>
      <c r="C60" s="79"/>
      <c r="D60" s="80"/>
      <c r="E60" s="80"/>
      <c r="F60" s="80"/>
      <c r="G60" s="80"/>
      <c r="H60" s="80"/>
      <c r="I60" s="103" t="s">
        <v>40</v>
      </c>
      <c r="J60" s="46">
        <v>2011</v>
      </c>
      <c r="K60" s="46"/>
      <c r="N60" s="136"/>
      <c r="O60" s="137"/>
      <c r="P60" s="136"/>
      <c r="Q60" s="136" t="s">
        <v>66</v>
      </c>
      <c r="R60" s="136"/>
      <c r="S60" s="6">
        <f>SUM(T60:V60)</f>
        <v>0</v>
      </c>
      <c r="T60" s="6">
        <f>SUMIF(G4:G43,"=3",T4:T43)</f>
        <v>0</v>
      </c>
      <c r="U60" s="6">
        <f>SUMIF(G4:G43,"=3",V4:V43)</f>
        <v>0</v>
      </c>
      <c r="V60" s="6">
        <f>SUMIF(G4:G43,"=3",W4:W43)</f>
        <v>0</v>
      </c>
      <c r="W60" s="136"/>
      <c r="X60" s="136"/>
      <c r="Y60" s="136"/>
      <c r="Z60" s="136"/>
      <c r="AA60" s="136"/>
      <c r="AB60" s="136"/>
      <c r="AC60" s="136"/>
      <c r="AD60" s="136"/>
      <c r="AE60" s="136"/>
      <c r="AF60" s="136"/>
      <c r="AG60" s="136"/>
    </row>
    <row r="61" spans="2:35">
      <c r="B61" s="116">
        <v>1</v>
      </c>
      <c r="C61" s="79"/>
      <c r="D61" s="80"/>
      <c r="E61" s="80"/>
      <c r="F61" s="80"/>
      <c r="G61" s="80"/>
      <c r="H61" s="80"/>
      <c r="I61" s="139" t="s">
        <v>22</v>
      </c>
      <c r="J61" s="46">
        <v>5</v>
      </c>
      <c r="K61" s="140"/>
      <c r="Q61" s="55" t="s">
        <v>67</v>
      </c>
      <c r="S61" s="6">
        <f>SUM(T61:V61)</f>
        <v>0</v>
      </c>
      <c r="T61" s="6">
        <f>SUMIF(G4:G43,"=4",T4:T43)</f>
        <v>0</v>
      </c>
      <c r="U61" s="6">
        <f>SUMIF(G4:G43,"=4",V4:V43)</f>
        <v>0</v>
      </c>
      <c r="V61" s="6">
        <f>SUMIF(G4:G43,"=4",W4:W43)</f>
        <v>0</v>
      </c>
      <c r="W61" s="136"/>
      <c r="X61" s="136"/>
      <c r="Y61" s="136"/>
      <c r="Z61" s="136"/>
      <c r="AA61" s="136"/>
      <c r="AB61" s="136"/>
      <c r="AC61" s="136"/>
      <c r="AD61" s="136"/>
      <c r="AE61" s="136"/>
      <c r="AF61" s="136"/>
      <c r="AG61" s="136"/>
    </row>
    <row r="62" spans="2:35">
      <c r="B62" s="116">
        <v>2</v>
      </c>
      <c r="C62" s="141"/>
      <c r="D62" s="142"/>
      <c r="E62" s="142"/>
      <c r="F62" s="142"/>
      <c r="G62" s="142"/>
      <c r="H62" s="142"/>
      <c r="I62" s="139" t="s">
        <v>34</v>
      </c>
      <c r="J62" s="134"/>
      <c r="K62" s="135"/>
      <c r="Q62" s="55" t="s">
        <v>68</v>
      </c>
      <c r="S62" s="6">
        <f>SUM(T62:V62)</f>
        <v>0</v>
      </c>
      <c r="T62" s="6">
        <f>SUMIF(G4:G43,"=5",T4:T43)</f>
        <v>0</v>
      </c>
      <c r="U62" s="6">
        <f>SUMIF(G4:G43,"=5",V4:V43)</f>
        <v>0</v>
      </c>
      <c r="V62" s="6">
        <f>SUMIF(G4:G43,"=5",W4:W43)</f>
        <v>0</v>
      </c>
      <c r="W62" s="136"/>
      <c r="X62" s="136"/>
      <c r="Y62" s="136"/>
      <c r="Z62" s="136"/>
      <c r="AA62" s="136"/>
      <c r="AB62" s="136"/>
      <c r="AC62" s="136"/>
      <c r="AD62" s="136"/>
      <c r="AE62" s="136"/>
      <c r="AF62" s="136"/>
      <c r="AG62" s="136"/>
    </row>
    <row r="63" spans="2:35">
      <c r="B63" s="116">
        <v>3</v>
      </c>
      <c r="C63" s="72"/>
      <c r="D63" s="80"/>
      <c r="J63" s="143" t="s">
        <v>23</v>
      </c>
      <c r="K63" s="144"/>
      <c r="T63" s="136"/>
      <c r="U63" s="136"/>
      <c r="V63" s="136"/>
      <c r="W63" s="136"/>
      <c r="X63" s="136"/>
      <c r="Y63" s="136"/>
      <c r="Z63" s="136"/>
      <c r="AA63" s="136"/>
      <c r="AB63" s="136"/>
      <c r="AC63" s="136"/>
      <c r="AD63" s="136"/>
      <c r="AE63" s="136"/>
      <c r="AF63" s="136"/>
      <c r="AG63" s="136"/>
    </row>
    <row r="64" spans="2:35">
      <c r="B64" s="116">
        <v>4</v>
      </c>
      <c r="C64" s="72"/>
      <c r="D64" s="80"/>
      <c r="J64" s="143" t="s">
        <v>24</v>
      </c>
      <c r="K64" s="144" t="s">
        <v>88</v>
      </c>
    </row>
    <row r="65" spans="2:36">
      <c r="B65" s="116">
        <v>5</v>
      </c>
    </row>
    <row r="66" spans="2:36" ht="33.75">
      <c r="B66" s="146" t="s">
        <v>57</v>
      </c>
      <c r="AJ66" s="147"/>
    </row>
    <row r="67" spans="2:36" ht="33.75">
      <c r="B67" s="146" t="s">
        <v>58</v>
      </c>
      <c r="I67" s="148"/>
      <c r="AJ67" s="147"/>
    </row>
    <row r="68" spans="2:36" ht="45">
      <c r="B68" s="146" t="s">
        <v>60</v>
      </c>
      <c r="I68" s="148"/>
      <c r="AJ68" s="147"/>
    </row>
    <row r="69" spans="2:36" ht="33.75">
      <c r="B69" s="146" t="s">
        <v>59</v>
      </c>
      <c r="AJ69" s="147"/>
    </row>
    <row r="70" spans="2:36" ht="56.25">
      <c r="B70" s="146" t="s">
        <v>61</v>
      </c>
      <c r="AJ70" s="147"/>
    </row>
    <row r="71" spans="2:36" ht="45">
      <c r="B71" s="146" t="s">
        <v>62</v>
      </c>
      <c r="AJ71" s="147"/>
    </row>
    <row r="72" spans="2:36" ht="56.25">
      <c r="B72" s="146" t="s">
        <v>56</v>
      </c>
      <c r="AJ72" s="147"/>
    </row>
    <row r="73" spans="2:36">
      <c r="B73" s="147"/>
      <c r="J73" s="116" t="s">
        <v>106</v>
      </c>
      <c r="AJ73" s="147"/>
    </row>
    <row r="74" spans="2:36">
      <c r="J74" s="116" t="s">
        <v>107</v>
      </c>
    </row>
    <row r="75" spans="2:36">
      <c r="J75" s="116" t="s">
        <v>108</v>
      </c>
    </row>
    <row r="76" spans="2:36">
      <c r="J76" s="116" t="s">
        <v>109</v>
      </c>
    </row>
    <row r="77" spans="2:36">
      <c r="J77" s="116" t="s">
        <v>110</v>
      </c>
    </row>
    <row r="78" spans="2:36">
      <c r="J78" s="116" t="s">
        <v>111</v>
      </c>
    </row>
    <row r="79" spans="2:36">
      <c r="J79" s="116" t="s">
        <v>112</v>
      </c>
    </row>
    <row r="80" spans="2:36">
      <c r="J80" s="116" t="s">
        <v>113</v>
      </c>
    </row>
    <row r="81" spans="10:10">
      <c r="J81" s="116" t="s">
        <v>114</v>
      </c>
    </row>
    <row r="82" spans="10:10">
      <c r="J82" s="116" t="s">
        <v>115</v>
      </c>
    </row>
    <row r="83" spans="10:10">
      <c r="J83" s="116" t="s">
        <v>116</v>
      </c>
    </row>
    <row r="84" spans="10:10">
      <c r="J84" s="116" t="s">
        <v>117</v>
      </c>
    </row>
    <row r="85" spans="10:10">
      <c r="J85" s="116" t="s">
        <v>118</v>
      </c>
    </row>
    <row r="86" spans="10:10">
      <c r="J86" s="116" t="s">
        <v>119</v>
      </c>
    </row>
    <row r="87" spans="10:10">
      <c r="J87" s="116" t="s">
        <v>120</v>
      </c>
    </row>
    <row r="88" spans="10:10">
      <c r="J88" s="116" t="s">
        <v>121</v>
      </c>
    </row>
    <row r="89" spans="10:10">
      <c r="J89" s="116" t="s">
        <v>122</v>
      </c>
    </row>
    <row r="90" spans="10:10">
      <c r="J90" s="116" t="s">
        <v>123</v>
      </c>
    </row>
    <row r="91" spans="10:10">
      <c r="J91" s="116" t="s">
        <v>124</v>
      </c>
    </row>
    <row r="92" spans="10:10">
      <c r="J92" s="116" t="s">
        <v>125</v>
      </c>
    </row>
    <row r="93" spans="10:10">
      <c r="J93" s="116" t="s">
        <v>126</v>
      </c>
    </row>
    <row r="94" spans="10:10">
      <c r="J94" s="116" t="s">
        <v>127</v>
      </c>
    </row>
    <row r="95" spans="10:10">
      <c r="J95" s="116" t="s">
        <v>128</v>
      </c>
    </row>
    <row r="96" spans="10:10">
      <c r="J96" s="116" t="s">
        <v>129</v>
      </c>
    </row>
    <row r="97" spans="10:10">
      <c r="J97" s="116" t="s">
        <v>130</v>
      </c>
    </row>
    <row r="98" spans="10:10">
      <c r="J98" s="116" t="s">
        <v>131</v>
      </c>
    </row>
    <row r="99" spans="10:10">
      <c r="J99" s="116" t="s">
        <v>132</v>
      </c>
    </row>
    <row r="100" spans="10:10">
      <c r="J100" s="116" t="s">
        <v>133</v>
      </c>
    </row>
    <row r="101" spans="10:10">
      <c r="J101" s="116" t="s">
        <v>134</v>
      </c>
    </row>
    <row r="102" spans="10:10">
      <c r="J102" s="116" t="s">
        <v>135</v>
      </c>
    </row>
    <row r="103" spans="10:10">
      <c r="J103" s="116" t="s">
        <v>136</v>
      </c>
    </row>
    <row r="104" spans="10:10">
      <c r="J104" s="116" t="s">
        <v>137</v>
      </c>
    </row>
    <row r="105" spans="10:10">
      <c r="J105" s="116" t="s">
        <v>138</v>
      </c>
    </row>
    <row r="106" spans="10:10">
      <c r="J106" s="116" t="s">
        <v>139</v>
      </c>
    </row>
    <row r="107" spans="10:10">
      <c r="J107" s="116" t="s">
        <v>140</v>
      </c>
    </row>
    <row r="108" spans="10:10">
      <c r="J108" s="116" t="s">
        <v>141</v>
      </c>
    </row>
    <row r="109" spans="10:10">
      <c r="J109" s="116" t="s">
        <v>142</v>
      </c>
    </row>
    <row r="110" spans="10:10">
      <c r="J110" s="116" t="s">
        <v>143</v>
      </c>
    </row>
    <row r="111" spans="10:10">
      <c r="J111" s="116" t="s">
        <v>144</v>
      </c>
    </row>
    <row r="112" spans="10:10">
      <c r="J112" s="116" t="s">
        <v>145</v>
      </c>
    </row>
    <row r="113" spans="10:10">
      <c r="J113" s="116" t="s">
        <v>146</v>
      </c>
    </row>
    <row r="114" spans="10:10">
      <c r="J114" s="116" t="s">
        <v>147</v>
      </c>
    </row>
    <row r="115" spans="10:10">
      <c r="J115" s="116" t="s">
        <v>148</v>
      </c>
    </row>
    <row r="116" spans="10:10">
      <c r="J116" s="116" t="s">
        <v>149</v>
      </c>
    </row>
    <row r="117" spans="10:10">
      <c r="J117" s="116" t="s">
        <v>150</v>
      </c>
    </row>
    <row r="118" spans="10:10">
      <c r="J118" s="116" t="s">
        <v>151</v>
      </c>
    </row>
    <row r="119" spans="10:10">
      <c r="J119" s="116" t="s">
        <v>152</v>
      </c>
    </row>
    <row r="120" spans="10:10">
      <c r="J120" s="116" t="s">
        <v>153</v>
      </c>
    </row>
    <row r="121" spans="10:10">
      <c r="J121" s="116" t="s">
        <v>154</v>
      </c>
    </row>
    <row r="122" spans="10:10">
      <c r="J122" s="116" t="s">
        <v>155</v>
      </c>
    </row>
    <row r="123" spans="10:10">
      <c r="J123" s="116" t="s">
        <v>156</v>
      </c>
    </row>
    <row r="124" spans="10:10">
      <c r="J124" s="116" t="s">
        <v>157</v>
      </c>
    </row>
    <row r="125" spans="10:10">
      <c r="J125" s="116" t="s">
        <v>158</v>
      </c>
    </row>
    <row r="126" spans="10:10">
      <c r="J126" s="116" t="s">
        <v>159</v>
      </c>
    </row>
    <row r="127" spans="10:10">
      <c r="J127" s="116" t="s">
        <v>160</v>
      </c>
    </row>
    <row r="128" spans="10:10">
      <c r="J128" s="116" t="s">
        <v>161</v>
      </c>
    </row>
    <row r="129" spans="10:10">
      <c r="J129" s="116" t="s">
        <v>162</v>
      </c>
    </row>
    <row r="130" spans="10:10">
      <c r="J130" s="116" t="s">
        <v>163</v>
      </c>
    </row>
  </sheetData>
  <mergeCells count="1">
    <mergeCell ref="D2:G2"/>
  </mergeCells>
  <phoneticPr fontId="0" type="noConversion"/>
  <dataValidations xWindow="185" yWindow="374" count="16">
    <dataValidation type="list" showInputMessage="1" showErrorMessage="1" errorTitle="Month Number is incorrect" error="Enter Month Number 1 .. 12" promptTitle="Month Number" sqref="J61">
      <formula1>$B$46:$B$57</formula1>
    </dataValidation>
    <dataValidation type="whole" allowBlank="1" showInputMessage="1" showErrorMessage="1" errorTitle="Year Incorrect" error="Enter year in 4 digit format (2005)" promptTitle="Year" sqref="J60">
      <formula1>2000</formula1>
      <formula2>2080</formula2>
    </dataValidation>
    <dataValidation type="list" allowBlank="1" showInputMessage="1" showErrorMessage="1" errorTitle="Deprerciation Flag" error="Must be Y or N._x000a_Y will use taxes in the depreciation schedule." promptTitle="Depreciation" sqref="J59">
      <formula1>$B$44:$B$45</formula1>
    </dataValidation>
    <dataValidation type="custom" showInputMessage="1" showErrorMessage="1" errorTitle="Do Not Change" error="Select Cancel" promptTitle="Locked Cell" prompt="DO NOT Modify" sqref="BA58:IV64 BA110:IV65539 C110:G111 A58:B64 A110:B65539 BA7:IV11 A7:B11 BA32:IV37 BA19:IV24 A19:B24 A32:B37">
      <formula1>"d1o2 n3o4t c5h6a7n9g0e1 t2h3i4s5 B296ield"</formula1>
    </dataValidation>
    <dataValidation type="custom" showInputMessage="1" showErrorMessage="1" errorTitle="Do Not Change" error="Select Cancel" promptTitle="Locked Cell" sqref="C58:H64">
      <formula1>"d1o2 n3o4t c5h6a7n9g0e1 t2h3i4s5 B296ield"</formula1>
    </dataValidation>
    <dataValidation type="whole" showInputMessage="1" showErrorMessage="1" errorTitle="Quantity" error="Must be the number to purchase." sqref="H19:H24 H7:H11 H32:H37">
      <formula1>0</formula1>
      <formula2>99000</formula2>
    </dataValidation>
    <dataValidation type="decimal" allowBlank="1" showInputMessage="1" showErrorMessage="1" errorTitle="SACWIS % not 0 &lt;= 100" error="SACWIS Percent must be between 0 and 100" promptTitle="CWS/CMS %" prompt="Enter the % that this item is determined to be CWS/CMS eligible. (0 to 99)" sqref="D7:D11 D32:D37 D19:D24">
      <formula1>0</formula1>
      <formula2>100</formula2>
    </dataValidation>
    <dataValidation type="list" showInputMessage="1" showErrorMessage="1" errorTitle="Not a valid Category" promptTitle="Acquision Type" prompt="Select from the following:_x000a_CMP - County Merit Personnel_x000a_CCS - County Contractor Services_x000a_Hrdw - Hardware_x000a_Sftw  - Software_x000a_Trng  - Trng (Not Supported)_x000a_Ovrhd - Overhead_x000a_Supp - Supplies_x000a_Other  - Other_x000a_" sqref="C32:C37">
      <formula1>$B$66:$B$73</formula1>
    </dataValidation>
    <dataValidation type="list" showInputMessage="1" showErrorMessage="1" errorTitle="Marking Error" error="Cell must be empty or X. Space is invalid." promptTitle="Tax" prompt="Select X if this item is taxable." sqref="F19:F24 F7:F11 F32:F37">
      <formula1>$B$58:$B$59</formula1>
    </dataValidation>
    <dataValidation type="list" allowBlank="1" showInputMessage="1" showErrorMessage="1" errorTitle="Marking Error" error="Cell must be Blank or 1, 2, 3, 4, or 5." promptTitle="Depreciation" prompt="If left blank the Item will not be Depreciated._x000a_Enter 1-5 for the number of years to depreciate this item." sqref="G19:G24 G7:G11 G32:G37">
      <formula1>$B$60:$B$65</formula1>
    </dataValidation>
    <dataValidation type="list" allowBlank="1" showInputMessage="1" showErrorMessage="1" sqref="E19:E24 E32:E37 E7:E11">
      <formula1>$B$59:$B$60</formula1>
    </dataValidation>
    <dataValidation type="list" showInputMessage="1" showErrorMessage="1" errorTitle="Not a valid Category" promptTitle="Acquisition Type" prompt="Select from the following:_x000a_CMP - County Merit Personnel_x000a_CCS - County Contractor Services_x000a_Hrdw - Hardware_x000a_Sftw  - Software_x000a_Trng  - Trng (Not Supported)_x000a_Ovrhd - Overhead_x000a_Supp - Supplies_x000a_Other  - Other_x000a_" sqref="C19:C24 C7:C11">
      <formula1>$B$66:$B$73</formula1>
    </dataValidation>
    <dataValidation allowBlank="1" showInputMessage="1" showErrorMessage="1" promptTitle="APD #" prompt="Enter the APD Number (if known)" sqref="I2:I3"/>
    <dataValidation allowBlank="1" showInputMessage="1" showErrorMessage="1" promptTitle="Date" prompt="Enter Date" sqref="K2:K3"/>
    <dataValidation allowBlank="1" showInputMessage="1" showErrorMessage="1" promptTitle="County" prompt="Enter Your County Name" sqref="D3:G3 H2:H3"/>
    <dataValidation type="list" allowBlank="1" showInputMessage="1" showErrorMessage="1" sqref="D2:G2">
      <formula1>$J$73:$J$130</formula1>
    </dataValidation>
  </dataValidations>
  <printOptions horizontalCentered="1"/>
  <pageMargins left="0.5" right="0.5" top="0.75" bottom="0.5" header="0.25" footer="0.5"/>
  <pageSetup scale="84" fitToHeight="11" orientation="portrait" r:id="rId1"/>
  <headerFooter alignWithMargins="0">
    <oddHeader>&amp;C&amp;"Arial,Bold"Appendix A
Cost Detail</oddHeader>
  </headerFooter>
  <ignoredErrors>
    <ignoredError sqref="J40:J41 J47 K40 J27 K19:K20 K23" unlockedFormula="1"/>
  </ignoredErrors>
  <drawing r:id="rId2"/>
  <legacyDrawing r:id="rId3"/>
  <controls>
    <mc:AlternateContent xmlns:mc="http://schemas.openxmlformats.org/markup-compatibility/2006">
      <mc:Choice Requires="x14">
        <control shapeId="1322" r:id="rId4" name="CommandButton5">
          <controlPr defaultSize="0" autoLine="0" r:id="rId5">
            <anchor moveWithCells="1" sizeWithCells="1">
              <from>
                <xdr:col>9</xdr:col>
                <xdr:colOff>609600</xdr:colOff>
                <xdr:row>0</xdr:row>
                <xdr:rowOff>133350</xdr:rowOff>
              </from>
              <to>
                <xdr:col>10</xdr:col>
                <xdr:colOff>666750</xdr:colOff>
                <xdr:row>0</xdr:row>
                <xdr:rowOff>409575</xdr:rowOff>
              </to>
            </anchor>
          </controlPr>
        </control>
      </mc:Choice>
      <mc:Fallback>
        <control shapeId="1322" r:id="rId4" name="CommandButton5"/>
      </mc:Fallback>
    </mc:AlternateContent>
    <mc:AlternateContent xmlns:mc="http://schemas.openxmlformats.org/markup-compatibility/2006">
      <mc:Choice Requires="x14">
        <control shapeId="1288" r:id="rId6" name="CommandButton4">
          <controlPr defaultSize="0" autoLine="0" r:id="rId7">
            <anchor moveWithCells="1" sizeWithCells="1">
              <from>
                <xdr:col>7</xdr:col>
                <xdr:colOff>247650</xdr:colOff>
                <xdr:row>0</xdr:row>
                <xdr:rowOff>114300</xdr:rowOff>
              </from>
              <to>
                <xdr:col>8</xdr:col>
                <xdr:colOff>647700</xdr:colOff>
                <xdr:row>0</xdr:row>
                <xdr:rowOff>390525</xdr:rowOff>
              </to>
            </anchor>
          </controlPr>
        </control>
      </mc:Choice>
      <mc:Fallback>
        <control shapeId="1288" r:id="rId6" name="CommandButton4"/>
      </mc:Fallback>
    </mc:AlternateContent>
    <mc:AlternateContent xmlns:mc="http://schemas.openxmlformats.org/markup-compatibility/2006">
      <mc:Choice Requires="x14">
        <control shapeId="1287" r:id="rId8" name="CommandButton3">
          <controlPr defaultSize="0" autoLine="0" r:id="rId9">
            <anchor moveWithCells="1" sizeWithCells="1">
              <from>
                <xdr:col>8</xdr:col>
                <xdr:colOff>2486025</xdr:colOff>
                <xdr:row>0</xdr:row>
                <xdr:rowOff>123825</xdr:rowOff>
              </from>
              <to>
                <xdr:col>9</xdr:col>
                <xdr:colOff>304800</xdr:colOff>
                <xdr:row>0</xdr:row>
                <xdr:rowOff>400050</xdr:rowOff>
              </to>
            </anchor>
          </controlPr>
        </control>
      </mc:Choice>
      <mc:Fallback>
        <control shapeId="1287" r:id="rId8" name="CommandButton3"/>
      </mc:Fallback>
    </mc:AlternateContent>
    <mc:AlternateContent xmlns:mc="http://schemas.openxmlformats.org/markup-compatibility/2006">
      <mc:Choice Requires="x14">
        <control shapeId="1286" r:id="rId10" name="CommandButton2">
          <controlPr defaultSize="0" autoLine="0" r:id="rId11">
            <anchor moveWithCells="1" sizeWithCells="1">
              <from>
                <xdr:col>4</xdr:col>
                <xdr:colOff>47625</xdr:colOff>
                <xdr:row>0</xdr:row>
                <xdr:rowOff>123825</xdr:rowOff>
              </from>
              <to>
                <xdr:col>6</xdr:col>
                <xdr:colOff>276225</xdr:colOff>
                <xdr:row>0</xdr:row>
                <xdr:rowOff>400050</xdr:rowOff>
              </to>
            </anchor>
          </controlPr>
        </control>
      </mc:Choice>
      <mc:Fallback>
        <control shapeId="1286" r:id="rId10" name="CommandButton2"/>
      </mc:Fallback>
    </mc:AlternateContent>
    <mc:AlternateContent xmlns:mc="http://schemas.openxmlformats.org/markup-compatibility/2006">
      <mc:Choice Requires="x14">
        <control shapeId="1276" r:id="rId12" name="CommandButton1">
          <controlPr defaultSize="0" autoLine="0" r:id="rId13">
            <anchor moveWithCells="1" sizeWithCells="1">
              <from>
                <xdr:col>2</xdr:col>
                <xdr:colOff>133350</xdr:colOff>
                <xdr:row>0</xdr:row>
                <xdr:rowOff>114300</xdr:rowOff>
              </from>
              <to>
                <xdr:col>3</xdr:col>
                <xdr:colOff>390525</xdr:colOff>
                <xdr:row>0</xdr:row>
                <xdr:rowOff>390525</xdr:rowOff>
              </to>
            </anchor>
          </controlPr>
        </control>
      </mc:Choice>
      <mc:Fallback>
        <control shapeId="1276" r:id="rId12" name="CommandButton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S85"/>
  <sheetViews>
    <sheetView tabSelected="1" topLeftCell="B1" zoomScale="77" zoomScaleNormal="77" zoomScaleSheetLayoutView="100" workbookViewId="0">
      <selection activeCell="P31" sqref="P31"/>
    </sheetView>
  </sheetViews>
  <sheetFormatPr defaultRowHeight="12.75"/>
  <cols>
    <col min="1" max="1" width="9.140625" style="16" hidden="1" customWidth="1"/>
    <col min="2" max="2" width="2.5703125" style="23" customWidth="1"/>
    <col min="3" max="3" width="8.140625" style="16" customWidth="1"/>
    <col min="4" max="4" width="31.5703125" style="16" customWidth="1"/>
    <col min="5" max="5" width="11.7109375" style="16" customWidth="1"/>
    <col min="6" max="13" width="11.42578125" style="16" customWidth="1"/>
    <col min="14" max="14" width="11.42578125" style="194" customWidth="1"/>
    <col min="15" max="15" width="12.7109375" style="16" bestFit="1" customWidth="1"/>
    <col min="16" max="16" width="12" style="16" bestFit="1" customWidth="1"/>
    <col min="17" max="18" width="9.140625" style="27"/>
    <col min="19" max="19" width="12" style="27" bestFit="1" customWidth="1"/>
    <col min="20" max="16384" width="9.140625" style="16"/>
  </cols>
  <sheetData>
    <row r="1" spans="2:19" s="18" customFormat="1" ht="15">
      <c r="C1" s="19" t="s">
        <v>164</v>
      </c>
      <c r="D1" s="152" t="s">
        <v>168</v>
      </c>
      <c r="E1" s="20" t="s">
        <v>78</v>
      </c>
      <c r="F1" s="21"/>
      <c r="H1" s="22"/>
      <c r="I1" s="22"/>
      <c r="J1" s="23"/>
      <c r="K1" s="19"/>
      <c r="L1" s="208"/>
      <c r="M1" s="208"/>
      <c r="N1" s="180"/>
      <c r="Q1" s="24"/>
      <c r="R1" s="24"/>
      <c r="S1" s="24"/>
    </row>
    <row r="2" spans="2:19" s="18" customFormat="1" ht="15">
      <c r="C2" s="206" t="str">
        <f>County</f>
        <v>Napa</v>
      </c>
      <c r="D2" s="206"/>
      <c r="E2" s="25"/>
      <c r="G2" s="209" t="s">
        <v>100</v>
      </c>
      <c r="H2" s="209"/>
      <c r="I2" s="11"/>
      <c r="K2" s="209" t="s">
        <v>101</v>
      </c>
      <c r="L2" s="209"/>
      <c r="M2" s="11"/>
      <c r="N2" s="180"/>
      <c r="Q2" s="24"/>
      <c r="R2" s="24"/>
      <c r="S2" s="24"/>
    </row>
    <row r="3" spans="2:19">
      <c r="C3" s="202" t="s">
        <v>94</v>
      </c>
      <c r="D3" s="202"/>
      <c r="E3" s="195">
        <f>'Cost Detail'!K48</f>
        <v>2660.6299750000003</v>
      </c>
      <c r="F3" s="26"/>
      <c r="G3" s="26"/>
      <c r="H3" s="26"/>
      <c r="I3" s="26"/>
      <c r="J3" s="26"/>
      <c r="K3" s="26"/>
      <c r="L3" s="26"/>
      <c r="M3" s="26"/>
      <c r="N3" s="181"/>
    </row>
    <row r="4" spans="2:19">
      <c r="C4" s="201" t="s">
        <v>96</v>
      </c>
      <c r="D4" s="201"/>
      <c r="E4" s="175">
        <f>'Cost Detail'!K55</f>
        <v>0.64098230720714933</v>
      </c>
      <c r="F4" s="26"/>
      <c r="G4" s="26"/>
      <c r="H4" s="26"/>
      <c r="I4" s="26"/>
      <c r="J4" s="26"/>
      <c r="K4" s="26"/>
      <c r="L4" s="26"/>
      <c r="M4" s="26"/>
      <c r="N4" s="181"/>
    </row>
    <row r="5" spans="2:19">
      <c r="C5" s="201" t="s">
        <v>95</v>
      </c>
      <c r="D5" s="201"/>
      <c r="E5" s="174">
        <f>E3*E4</f>
        <v>1705.4167400000001</v>
      </c>
      <c r="F5" s="29"/>
      <c r="G5" s="26"/>
      <c r="H5" s="26"/>
      <c r="I5" s="26"/>
      <c r="J5" s="26"/>
      <c r="K5" s="26"/>
      <c r="L5" s="26"/>
      <c r="M5" s="26"/>
      <c r="N5" s="181"/>
    </row>
    <row r="6" spans="2:19">
      <c r="C6" s="28"/>
      <c r="D6" s="28"/>
      <c r="E6" s="30"/>
      <c r="F6" s="29"/>
      <c r="G6" s="26"/>
      <c r="H6" s="26"/>
      <c r="I6" s="26"/>
      <c r="J6" s="26"/>
      <c r="K6" s="26"/>
      <c r="L6" s="26"/>
      <c r="M6" s="26"/>
      <c r="N6" s="181"/>
    </row>
    <row r="7" spans="2:19">
      <c r="C7" s="200" t="s">
        <v>84</v>
      </c>
      <c r="D7" s="200"/>
      <c r="E7" s="200"/>
      <c r="F7" s="200"/>
      <c r="G7" s="200"/>
      <c r="H7" s="200"/>
      <c r="I7" s="200"/>
      <c r="J7" s="200"/>
      <c r="K7" s="200"/>
      <c r="L7" s="200"/>
      <c r="M7" s="200"/>
      <c r="N7" s="182"/>
      <c r="O7" s="27"/>
      <c r="P7" s="27"/>
    </row>
    <row r="8" spans="2:19" ht="45">
      <c r="B8" s="21"/>
      <c r="C8" s="156" t="s">
        <v>41</v>
      </c>
      <c r="D8" s="156" t="s">
        <v>42</v>
      </c>
      <c r="E8" s="156" t="s">
        <v>85</v>
      </c>
      <c r="F8" s="156" t="s">
        <v>102</v>
      </c>
      <c r="G8" s="156" t="s">
        <v>49</v>
      </c>
      <c r="H8" s="156" t="s">
        <v>103</v>
      </c>
      <c r="I8" s="156" t="s">
        <v>44</v>
      </c>
      <c r="J8" s="156" t="s">
        <v>45</v>
      </c>
      <c r="K8" s="156" t="s">
        <v>46</v>
      </c>
      <c r="L8" s="156" t="s">
        <v>47</v>
      </c>
      <c r="M8" s="156" t="s">
        <v>91</v>
      </c>
      <c r="N8" s="183" t="s">
        <v>81</v>
      </c>
      <c r="O8" s="31" t="s">
        <v>80</v>
      </c>
      <c r="P8" s="31" t="s">
        <v>83</v>
      </c>
      <c r="S8" s="32"/>
    </row>
    <row r="9" spans="2:19">
      <c r="C9" s="162">
        <v>536</v>
      </c>
      <c r="D9" s="2" t="e">
        <f>VLOOKUP(C9,#REF!,3,FALSE)</f>
        <v>#REF!</v>
      </c>
      <c r="E9" s="7">
        <f>70.7%*$E$4</f>
        <v>0.45317449119545461</v>
      </c>
      <c r="F9" s="8" t="e">
        <f>VLOOKUP(C9,#REF!,4,FALSE)</f>
        <v>#REF!</v>
      </c>
      <c r="G9" s="35"/>
      <c r="H9" s="1" t="e">
        <f t="shared" ref="H9:H21" si="0">E9*$E$3*F9</f>
        <v>#REF!</v>
      </c>
      <c r="I9" s="1" t="e">
        <f t="shared" ref="I9:I21" si="1">E9*$E$3*J9</f>
        <v>#REF!</v>
      </c>
      <c r="J9" s="8" t="e">
        <f>VLOOKUP(C9,#REF!,6,FALSE)</f>
        <v>#REF!</v>
      </c>
      <c r="K9" s="1" t="e">
        <f>($E$3*E9)-(H9+I9)</f>
        <v>#REF!</v>
      </c>
      <c r="L9" s="7" t="e">
        <f>IF(1-J9-F9=0,0,1-J9-F9)</f>
        <v>#REF!</v>
      </c>
      <c r="M9" s="1" t="e">
        <f t="shared" ref="M9:M21" si="2">SUM(H9,I9,K9)</f>
        <v>#REF!</v>
      </c>
      <c r="N9" s="184" t="e">
        <f>VLOOKUP(C9,#REF!,9,FALSE)</f>
        <v>#REF!</v>
      </c>
      <c r="O9" s="36">
        <v>536</v>
      </c>
      <c r="P9" s="37" t="s">
        <v>71</v>
      </c>
    </row>
    <row r="10" spans="2:19">
      <c r="C10" s="158">
        <v>513</v>
      </c>
      <c r="D10" s="2" t="e">
        <f>VLOOKUP(C10,#REF!,3,FALSE)</f>
        <v>#REF!</v>
      </c>
      <c r="E10" s="7">
        <f>16.63%*$E$4</f>
        <v>0.10659535768854894</v>
      </c>
      <c r="F10" s="8" t="e">
        <f>VLOOKUP(C10,#REF!,4,FALSE)</f>
        <v>#REF!</v>
      </c>
      <c r="G10" s="35"/>
      <c r="H10" s="1" t="e">
        <f t="shared" si="0"/>
        <v>#REF!</v>
      </c>
      <c r="I10" s="1" t="e">
        <f t="shared" si="1"/>
        <v>#REF!</v>
      </c>
      <c r="J10" s="8" t="e">
        <f>VLOOKUP(C10,#REF!,6,FALSE)</f>
        <v>#REF!</v>
      </c>
      <c r="K10" s="1" t="e">
        <f t="shared" ref="K10:K21" si="3">($E$3*E10)-(H10+I10)</f>
        <v>#REF!</v>
      </c>
      <c r="L10" s="7" t="e">
        <f t="shared" ref="L10:L21" si="4">IF(1-J10-F10=0,0,1-J10-F10)</f>
        <v>#REF!</v>
      </c>
      <c r="M10" s="1" t="e">
        <f t="shared" si="2"/>
        <v>#REF!</v>
      </c>
      <c r="N10" s="184" t="e">
        <f>VLOOKUP(C10,#REF!,9,FALSE)</f>
        <v>#REF!</v>
      </c>
      <c r="O10" s="36">
        <v>513</v>
      </c>
      <c r="P10" s="37" t="s">
        <v>72</v>
      </c>
    </row>
    <row r="11" spans="2:19">
      <c r="B11" s="21"/>
      <c r="C11" s="158">
        <v>544</v>
      </c>
      <c r="D11" s="2" t="e">
        <f>VLOOKUP(C11,#REF!,3,FALSE)</f>
        <v>#REF!</v>
      </c>
      <c r="E11" s="7">
        <f>0.46%*$E$4</f>
        <v>2.9485186131528868E-3</v>
      </c>
      <c r="F11" s="8" t="e">
        <f>VLOOKUP(C11,#REF!,4,FALSE)</f>
        <v>#REF!</v>
      </c>
      <c r="G11" s="35"/>
      <c r="H11" s="1" t="e">
        <f t="shared" si="0"/>
        <v>#REF!</v>
      </c>
      <c r="I11" s="1" t="e">
        <f t="shared" si="1"/>
        <v>#REF!</v>
      </c>
      <c r="J11" s="8" t="e">
        <f>VLOOKUP(C11,#REF!,6,FALSE)</f>
        <v>#REF!</v>
      </c>
      <c r="K11" s="1" t="e">
        <f t="shared" si="3"/>
        <v>#REF!</v>
      </c>
      <c r="L11" s="7" t="e">
        <f t="shared" si="4"/>
        <v>#REF!</v>
      </c>
      <c r="M11" s="1" t="e">
        <f t="shared" si="2"/>
        <v>#REF!</v>
      </c>
      <c r="N11" s="184" t="e">
        <f>VLOOKUP(C11,#REF!,9,FALSE)</f>
        <v>#REF!</v>
      </c>
      <c r="O11" s="36">
        <v>544</v>
      </c>
      <c r="P11" s="37" t="s">
        <v>72</v>
      </c>
    </row>
    <row r="12" spans="2:19">
      <c r="C12" s="158">
        <v>556</v>
      </c>
      <c r="D12" s="2" t="e">
        <f>VLOOKUP(C12,#REF!,3,FALSE)</f>
        <v>#REF!</v>
      </c>
      <c r="E12" s="7">
        <f>0.2%*$E$4</f>
        <v>1.2819646144142988E-3</v>
      </c>
      <c r="F12" s="8" t="e">
        <f>VLOOKUP(C12,#REF!,4,FALSE)</f>
        <v>#REF!</v>
      </c>
      <c r="G12" s="35"/>
      <c r="H12" s="1" t="e">
        <f t="shared" si="0"/>
        <v>#REF!</v>
      </c>
      <c r="I12" s="1" t="e">
        <f t="shared" si="1"/>
        <v>#REF!</v>
      </c>
      <c r="J12" s="8" t="e">
        <f>VLOOKUP(C12,#REF!,6,FALSE)</f>
        <v>#REF!</v>
      </c>
      <c r="K12" s="1" t="e">
        <f t="shared" si="3"/>
        <v>#REF!</v>
      </c>
      <c r="L12" s="7" t="e">
        <f t="shared" si="4"/>
        <v>#REF!</v>
      </c>
      <c r="M12" s="1" t="e">
        <f t="shared" si="2"/>
        <v>#REF!</v>
      </c>
      <c r="N12" s="184" t="e">
        <f>VLOOKUP(C12,#REF!,9,FALSE)</f>
        <v>#REF!</v>
      </c>
      <c r="O12" s="36">
        <v>556</v>
      </c>
      <c r="P12" s="37" t="s">
        <v>72</v>
      </c>
    </row>
    <row r="13" spans="2:19">
      <c r="B13" s="21"/>
      <c r="C13" s="158">
        <v>144</v>
      </c>
      <c r="D13" s="2" t="e">
        <f>VLOOKUP(C13,#REF!,3,FALSE)</f>
        <v>#REF!</v>
      </c>
      <c r="E13" s="7">
        <f>11.22%*$E$4</f>
        <v>7.1918214868642166E-2</v>
      </c>
      <c r="F13" s="8" t="e">
        <f>VLOOKUP(C13,#REF!,4,FALSE)</f>
        <v>#REF!</v>
      </c>
      <c r="G13" s="35"/>
      <c r="H13" s="1" t="e">
        <f t="shared" si="0"/>
        <v>#REF!</v>
      </c>
      <c r="I13" s="1" t="e">
        <f t="shared" si="1"/>
        <v>#REF!</v>
      </c>
      <c r="J13" s="8" t="e">
        <f>VLOOKUP(C13,#REF!,6,FALSE)</f>
        <v>#REF!</v>
      </c>
      <c r="K13" s="1" t="e">
        <f t="shared" si="3"/>
        <v>#REF!</v>
      </c>
      <c r="L13" s="7" t="e">
        <f t="shared" si="4"/>
        <v>#REF!</v>
      </c>
      <c r="M13" s="1" t="e">
        <f t="shared" si="2"/>
        <v>#REF!</v>
      </c>
      <c r="N13" s="184" t="e">
        <f>VLOOKUP(C13,#REF!,9,FALSE)</f>
        <v>#REF!</v>
      </c>
      <c r="O13" s="36">
        <v>144</v>
      </c>
      <c r="P13" s="37" t="s">
        <v>73</v>
      </c>
    </row>
    <row r="14" spans="2:19">
      <c r="C14" s="158">
        <v>150</v>
      </c>
      <c r="D14" s="2" t="e">
        <f>VLOOKUP(C14,#REF!,3,FALSE)</f>
        <v>#REF!</v>
      </c>
      <c r="E14" s="7">
        <f>0%*$E$4</f>
        <v>0</v>
      </c>
      <c r="F14" s="8" t="e">
        <f>VLOOKUP(C14,#REF!,4,FALSE)</f>
        <v>#REF!</v>
      </c>
      <c r="G14" s="35"/>
      <c r="H14" s="1" t="e">
        <f t="shared" si="0"/>
        <v>#REF!</v>
      </c>
      <c r="I14" s="1" t="e">
        <f t="shared" si="1"/>
        <v>#REF!</v>
      </c>
      <c r="J14" s="8" t="e">
        <f>VLOOKUP(C14,#REF!,6,FALSE)</f>
        <v>#REF!</v>
      </c>
      <c r="K14" s="1" t="e">
        <f t="shared" si="3"/>
        <v>#REF!</v>
      </c>
      <c r="L14" s="7" t="e">
        <f t="shared" si="4"/>
        <v>#REF!</v>
      </c>
      <c r="M14" s="1" t="e">
        <f t="shared" si="2"/>
        <v>#REF!</v>
      </c>
      <c r="N14" s="184" t="e">
        <f>VLOOKUP(C14,#REF!,9,FALSE)</f>
        <v>#REF!</v>
      </c>
      <c r="O14" s="36">
        <v>150</v>
      </c>
      <c r="P14" s="37" t="s">
        <v>73</v>
      </c>
    </row>
    <row r="15" spans="2:19">
      <c r="C15" s="158">
        <v>168</v>
      </c>
      <c r="D15" s="2" t="e">
        <f>VLOOKUP(C15,#REF!,3,FALSE)</f>
        <v>#REF!</v>
      </c>
      <c r="E15" s="7">
        <f>0.05%*$E$4</f>
        <v>3.2049115360357469E-4</v>
      </c>
      <c r="F15" s="8" t="e">
        <f>VLOOKUP(C15,#REF!,4,FALSE)</f>
        <v>#REF!</v>
      </c>
      <c r="G15" s="35"/>
      <c r="H15" s="1" t="e">
        <f t="shared" si="0"/>
        <v>#REF!</v>
      </c>
      <c r="I15" s="1" t="e">
        <f t="shared" si="1"/>
        <v>#REF!</v>
      </c>
      <c r="J15" s="8" t="e">
        <f>VLOOKUP(C15,#REF!,6,FALSE)</f>
        <v>#REF!</v>
      </c>
      <c r="K15" s="1" t="e">
        <f t="shared" si="3"/>
        <v>#REF!</v>
      </c>
      <c r="L15" s="7" t="e">
        <f t="shared" si="4"/>
        <v>#REF!</v>
      </c>
      <c r="M15" s="1" t="e">
        <f t="shared" si="2"/>
        <v>#REF!</v>
      </c>
      <c r="N15" s="184" t="e">
        <f>VLOOKUP(C15,#REF!,9,FALSE)</f>
        <v>#REF!</v>
      </c>
      <c r="O15" s="36">
        <v>168</v>
      </c>
      <c r="P15" s="37" t="s">
        <v>73</v>
      </c>
    </row>
    <row r="16" spans="2:19">
      <c r="C16" s="158">
        <v>182</v>
      </c>
      <c r="D16" s="2" t="e">
        <f>VLOOKUP(C16,#REF!,3,FALSE)</f>
        <v>#REF!</v>
      </c>
      <c r="E16" s="7">
        <f>0.27%*$E$4</f>
        <v>1.7306522294593032E-3</v>
      </c>
      <c r="F16" s="8" t="e">
        <f>VLOOKUP(C16,#REF!,4,FALSE)</f>
        <v>#REF!</v>
      </c>
      <c r="G16" s="35"/>
      <c r="H16" s="1" t="e">
        <f t="shared" si="0"/>
        <v>#REF!</v>
      </c>
      <c r="I16" s="1" t="e">
        <f t="shared" si="1"/>
        <v>#REF!</v>
      </c>
      <c r="J16" s="8" t="e">
        <f>VLOOKUP(C16,#REF!,6,FALSE)</f>
        <v>#REF!</v>
      </c>
      <c r="K16" s="1" t="e">
        <f t="shared" si="3"/>
        <v>#REF!</v>
      </c>
      <c r="L16" s="7" t="e">
        <f t="shared" si="4"/>
        <v>#REF!</v>
      </c>
      <c r="M16" s="1" t="e">
        <f t="shared" si="2"/>
        <v>#REF!</v>
      </c>
      <c r="N16" s="184" t="e">
        <f>VLOOKUP(C16,#REF!,9,FALSE)</f>
        <v>#REF!</v>
      </c>
      <c r="O16" s="36">
        <v>182</v>
      </c>
      <c r="P16" s="37" t="s">
        <v>74</v>
      </c>
    </row>
    <row r="17" spans="1:19">
      <c r="B17" s="21"/>
      <c r="C17" s="158">
        <v>184</v>
      </c>
      <c r="D17" s="2" t="e">
        <f>VLOOKUP(C17,#REF!,3,FALSE)</f>
        <v>#REF!</v>
      </c>
      <c r="E17" s="7">
        <f>0.35%*$E$4</f>
        <v>2.2434380752250223E-3</v>
      </c>
      <c r="F17" s="8" t="e">
        <f>VLOOKUP(C17,#REF!,4,FALSE)</f>
        <v>#REF!</v>
      </c>
      <c r="G17" s="35"/>
      <c r="H17" s="1" t="e">
        <f t="shared" si="0"/>
        <v>#REF!</v>
      </c>
      <c r="I17" s="1" t="e">
        <f t="shared" si="1"/>
        <v>#REF!</v>
      </c>
      <c r="J17" s="8" t="e">
        <f>VLOOKUP(C17,#REF!,6,FALSE)</f>
        <v>#REF!</v>
      </c>
      <c r="K17" s="1" t="e">
        <f t="shared" si="3"/>
        <v>#REF!</v>
      </c>
      <c r="L17" s="7" t="e">
        <f t="shared" si="4"/>
        <v>#REF!</v>
      </c>
      <c r="M17" s="1" t="e">
        <f t="shared" si="2"/>
        <v>#REF!</v>
      </c>
      <c r="N17" s="184" t="e">
        <f>VLOOKUP(C17,#REF!,9,FALSE)</f>
        <v>#REF!</v>
      </c>
      <c r="O17" s="36">
        <v>184</v>
      </c>
      <c r="P17" s="37" t="s">
        <v>74</v>
      </c>
    </row>
    <row r="18" spans="1:19">
      <c r="C18" s="158">
        <v>135</v>
      </c>
      <c r="D18" s="2" t="e">
        <f>VLOOKUP(C18,#REF!,3,FALSE)</f>
        <v>#REF!</v>
      </c>
      <c r="E18" s="7">
        <f>0.01%*$E$4</f>
        <v>6.4098230720714935E-5</v>
      </c>
      <c r="F18" s="8" t="e">
        <f>VLOOKUP(C18,#REF!,4,FALSE)</f>
        <v>#REF!</v>
      </c>
      <c r="G18" s="35"/>
      <c r="H18" s="1" t="e">
        <f t="shared" si="0"/>
        <v>#REF!</v>
      </c>
      <c r="I18" s="1" t="e">
        <f t="shared" si="1"/>
        <v>#REF!</v>
      </c>
      <c r="J18" s="8" t="e">
        <f>VLOOKUP(C18,#REF!,6,FALSE)</f>
        <v>#REF!</v>
      </c>
      <c r="K18" s="1" t="e">
        <f t="shared" si="3"/>
        <v>#REF!</v>
      </c>
      <c r="L18" s="7" t="e">
        <f t="shared" si="4"/>
        <v>#REF!</v>
      </c>
      <c r="M18" s="1" t="e">
        <f t="shared" si="2"/>
        <v>#REF!</v>
      </c>
      <c r="N18" s="184" t="e">
        <f>VLOOKUP(C18,#REF!,9,FALSE)</f>
        <v>#REF!</v>
      </c>
      <c r="O18" s="36">
        <v>135</v>
      </c>
      <c r="P18" s="37" t="s">
        <v>79</v>
      </c>
    </row>
    <row r="19" spans="1:19">
      <c r="B19" s="38"/>
      <c r="C19" s="157">
        <v>165</v>
      </c>
      <c r="D19" s="2" t="e">
        <f>VLOOKUP(C19,#REF!,3,FALSE)</f>
        <v>#REF!</v>
      </c>
      <c r="E19" s="7">
        <f>0.03%*$E$4</f>
        <v>1.9229469216214479E-4</v>
      </c>
      <c r="F19" s="8" t="e">
        <f>VLOOKUP(C19,#REF!,4,FALSE)</f>
        <v>#REF!</v>
      </c>
      <c r="G19" s="35"/>
      <c r="H19" s="1" t="e">
        <f t="shared" si="0"/>
        <v>#REF!</v>
      </c>
      <c r="I19" s="1" t="e">
        <f t="shared" si="1"/>
        <v>#REF!</v>
      </c>
      <c r="J19" s="8" t="e">
        <f>VLOOKUP(C19,#REF!,6,FALSE)</f>
        <v>#REF!</v>
      </c>
      <c r="K19" s="1" t="e">
        <f t="shared" si="3"/>
        <v>#REF!</v>
      </c>
      <c r="L19" s="7" t="e">
        <f>IF(1-J19-F19=0,0,1-J19-F19)</f>
        <v>#REF!</v>
      </c>
      <c r="M19" s="1" t="e">
        <f t="shared" si="2"/>
        <v>#REF!</v>
      </c>
      <c r="N19" s="184" t="e">
        <f>VLOOKUP(C19,#REF!,9,FALSE)</f>
        <v>#REF!</v>
      </c>
      <c r="O19" s="36">
        <v>165</v>
      </c>
      <c r="P19" s="37" t="s">
        <v>79</v>
      </c>
    </row>
    <row r="20" spans="1:19" ht="12.75" customHeight="1">
      <c r="C20" s="158">
        <v>175</v>
      </c>
      <c r="D20" s="2" t="e">
        <f>VLOOKUP(C20,#REF!,3,FALSE)</f>
        <v>#REF!</v>
      </c>
      <c r="E20" s="7">
        <f>0.07%*$E$4</f>
        <v>4.4868761504500459E-4</v>
      </c>
      <c r="F20" s="8" t="e">
        <f>VLOOKUP(C20,#REF!,4,FALSE)</f>
        <v>#REF!</v>
      </c>
      <c r="G20" s="35"/>
      <c r="H20" s="1" t="e">
        <f t="shared" si="0"/>
        <v>#REF!</v>
      </c>
      <c r="I20" s="1" t="e">
        <f t="shared" si="1"/>
        <v>#REF!</v>
      </c>
      <c r="J20" s="8" t="e">
        <f>VLOOKUP(C20,#REF!,6,FALSE)</f>
        <v>#REF!</v>
      </c>
      <c r="K20" s="1" t="e">
        <f t="shared" si="3"/>
        <v>#REF!</v>
      </c>
      <c r="L20" s="7" t="e">
        <f t="shared" si="4"/>
        <v>#REF!</v>
      </c>
      <c r="M20" s="1" t="e">
        <f t="shared" si="2"/>
        <v>#REF!</v>
      </c>
      <c r="N20" s="184" t="e">
        <f>VLOOKUP(C20,#REF!,9,FALSE)</f>
        <v>#REF!</v>
      </c>
      <c r="O20" s="36">
        <v>175</v>
      </c>
      <c r="P20" s="37" t="s">
        <v>79</v>
      </c>
    </row>
    <row r="21" spans="1:19" ht="12.75" customHeight="1">
      <c r="C21" s="158">
        <v>588</v>
      </c>
      <c r="D21" s="2" t="e">
        <f>VLOOKUP(C21,#REF!,3,FALSE)</f>
        <v>#REF!</v>
      </c>
      <c r="E21" s="7">
        <f>0.01%*$E$4</f>
        <v>6.4098230720714935E-5</v>
      </c>
      <c r="F21" s="8" t="e">
        <f>VLOOKUP(C21,#REF!,4,FALSE)</f>
        <v>#REF!</v>
      </c>
      <c r="G21" s="35"/>
      <c r="H21" s="1" t="e">
        <f t="shared" si="0"/>
        <v>#REF!</v>
      </c>
      <c r="I21" s="1" t="e">
        <f t="shared" si="1"/>
        <v>#REF!</v>
      </c>
      <c r="J21" s="8" t="e">
        <f>VLOOKUP(C21,#REF!,6,FALSE)</f>
        <v>#REF!</v>
      </c>
      <c r="K21" s="1" t="e">
        <f t="shared" si="3"/>
        <v>#REF!</v>
      </c>
      <c r="L21" s="7" t="e">
        <f t="shared" si="4"/>
        <v>#REF!</v>
      </c>
      <c r="M21" s="1" t="e">
        <f t="shared" si="2"/>
        <v>#REF!</v>
      </c>
      <c r="N21" s="184" t="e">
        <f>VLOOKUP(C21,#REF!,9,FALSE)</f>
        <v>#REF!</v>
      </c>
      <c r="O21" s="36">
        <v>588</v>
      </c>
      <c r="P21" s="37" t="s">
        <v>79</v>
      </c>
    </row>
    <row r="22" spans="1:19">
      <c r="B22" s="21"/>
      <c r="C22" s="199" t="s">
        <v>86</v>
      </c>
      <c r="D22" s="207"/>
      <c r="E22" s="159">
        <f>SUM(E9:E21)</f>
        <v>0.64098230720714944</v>
      </c>
      <c r="F22" s="160"/>
      <c r="G22" s="163"/>
      <c r="H22" s="176" t="e">
        <f>SUM(H9:H21)</f>
        <v>#REF!</v>
      </c>
      <c r="I22" s="176" t="e">
        <f>SUM(I9:I21)</f>
        <v>#REF!</v>
      </c>
      <c r="J22" s="177"/>
      <c r="K22" s="176" t="e">
        <f>SUM(K9:K21)</f>
        <v>#REF!</v>
      </c>
      <c r="L22" s="177"/>
      <c r="M22" s="176" t="e">
        <f>SUM(M9:M21)</f>
        <v>#REF!</v>
      </c>
      <c r="N22" s="185"/>
      <c r="O22" s="36"/>
      <c r="P22" s="37"/>
    </row>
    <row r="23" spans="1:19">
      <c r="C23" s="149"/>
      <c r="D23" s="149"/>
      <c r="E23" s="149"/>
      <c r="F23" s="149"/>
      <c r="G23" s="149"/>
      <c r="H23" s="149"/>
      <c r="I23" s="149"/>
      <c r="J23" s="149"/>
      <c r="K23" s="27"/>
      <c r="N23" s="186"/>
      <c r="O23" s="150"/>
      <c r="P23" s="150"/>
    </row>
    <row r="24" spans="1:19">
      <c r="C24" s="202" t="s">
        <v>98</v>
      </c>
      <c r="D24" s="202"/>
      <c r="E24" s="175">
        <f>1-E4</f>
        <v>0.35901769279285067</v>
      </c>
      <c r="N24" s="186"/>
      <c r="O24" s="150"/>
      <c r="P24" s="150"/>
    </row>
    <row r="25" spans="1:19">
      <c r="C25" s="202" t="s">
        <v>97</v>
      </c>
      <c r="D25" s="202"/>
      <c r="E25" s="174">
        <f>E3-E5</f>
        <v>955.21323500000017</v>
      </c>
      <c r="N25" s="186"/>
      <c r="O25" s="150"/>
      <c r="P25" s="150"/>
    </row>
    <row r="26" spans="1:19">
      <c r="B26" s="39"/>
      <c r="C26" s="26"/>
      <c r="D26" s="26"/>
      <c r="E26" s="40"/>
      <c r="H26" s="41"/>
      <c r="N26" s="186"/>
      <c r="O26" s="150"/>
      <c r="P26" s="150"/>
    </row>
    <row r="27" spans="1:19">
      <c r="B27" s="39"/>
      <c r="C27" s="26"/>
      <c r="D27" s="26"/>
      <c r="E27" s="40"/>
      <c r="N27" s="186"/>
      <c r="O27" s="150"/>
      <c r="P27" s="150"/>
    </row>
    <row r="28" spans="1:19">
      <c r="A28" s="16" t="s">
        <v>82</v>
      </c>
      <c r="B28" s="39"/>
      <c r="C28" s="26"/>
      <c r="D28" s="26"/>
      <c r="N28" s="186"/>
      <c r="O28" s="150"/>
      <c r="P28" s="150"/>
      <c r="R28" s="21"/>
      <c r="S28" s="21"/>
    </row>
    <row r="29" spans="1:19">
      <c r="A29" s="16" t="s">
        <v>75</v>
      </c>
      <c r="C29" s="154" t="s">
        <v>75</v>
      </c>
      <c r="D29" s="203" t="s">
        <v>89</v>
      </c>
      <c r="E29" s="204"/>
      <c r="F29" s="204"/>
      <c r="G29" s="204"/>
      <c r="H29" s="204"/>
      <c r="I29" s="204"/>
      <c r="J29" s="204"/>
      <c r="K29" s="204"/>
      <c r="L29" s="204"/>
      <c r="M29" s="205"/>
      <c r="N29" s="187"/>
      <c r="O29" s="150"/>
      <c r="P29" s="150"/>
    </row>
    <row r="30" spans="1:19" ht="45">
      <c r="C30" s="155" t="str">
        <f>IF(C29="P","Program Code","Time Study Code")</f>
        <v>Time Study Code</v>
      </c>
      <c r="D30" s="156" t="s">
        <v>42</v>
      </c>
      <c r="E30" s="156" t="s">
        <v>85</v>
      </c>
      <c r="F30" s="156" t="s">
        <v>48</v>
      </c>
      <c r="G30" s="156" t="s">
        <v>49</v>
      </c>
      <c r="H30" s="156" t="s">
        <v>43</v>
      </c>
      <c r="I30" s="156" t="s">
        <v>44</v>
      </c>
      <c r="J30" s="156" t="s">
        <v>45</v>
      </c>
      <c r="K30" s="156" t="s">
        <v>46</v>
      </c>
      <c r="L30" s="156" t="s">
        <v>47</v>
      </c>
      <c r="M30" s="156" t="s">
        <v>99</v>
      </c>
      <c r="N30" s="188" t="s">
        <v>0</v>
      </c>
      <c r="O30" s="31"/>
      <c r="P30" s="150"/>
      <c r="Q30" s="43"/>
      <c r="R30" s="43"/>
      <c r="S30" s="43"/>
    </row>
    <row r="31" spans="1:19">
      <c r="B31" s="19"/>
      <c r="C31" s="178" t="s">
        <v>174</v>
      </c>
      <c r="D31" s="179" t="s">
        <v>176</v>
      </c>
      <c r="E31" s="7">
        <f t="shared" ref="E31:E62" si="5">IF(ISERROR(N31/$N$68*$E$24),0,(N31/$N$68*$E$24))</f>
        <v>7.1706274636264087E-3</v>
      </c>
      <c r="F31" s="34">
        <v>0.5</v>
      </c>
      <c r="G31" s="34">
        <v>0.39679999999999999</v>
      </c>
      <c r="H31" s="1">
        <f>$E$3*E31*F31*(1-G31)</f>
        <v>5.7540413289756458</v>
      </c>
      <c r="I31" s="1">
        <f>$E$3*E31*J31</f>
        <v>0</v>
      </c>
      <c r="J31" s="34"/>
      <c r="K31" s="1">
        <f>($E$3*E31)-(H31+I31)</f>
        <v>13.324345040307001</v>
      </c>
      <c r="L31" s="33"/>
      <c r="M31" s="1">
        <f>SUM(H31,I31,K31)</f>
        <v>19.078386369282647</v>
      </c>
      <c r="N31" s="189">
        <v>1.9972908320604086E-2</v>
      </c>
      <c r="O31"/>
      <c r="P31" s="150"/>
      <c r="Q31" s="43"/>
      <c r="R31" s="43"/>
      <c r="S31" s="43"/>
    </row>
    <row r="32" spans="1:19">
      <c r="B32" s="19"/>
      <c r="C32" s="178" t="s">
        <v>175</v>
      </c>
      <c r="D32" s="179" t="s">
        <v>177</v>
      </c>
      <c r="E32" s="7">
        <f t="shared" si="5"/>
        <v>1.2328719513579894E-2</v>
      </c>
      <c r="F32" s="34">
        <v>0.5</v>
      </c>
      <c r="G32" s="34">
        <v>0.39679999999999999</v>
      </c>
      <c r="H32" s="1">
        <f t="shared" ref="H32" si="6">$E$3*E32*F32*(1-G32)</f>
        <v>9.8931316644653435</v>
      </c>
      <c r="I32" s="1">
        <f t="shared" ref="I32" si="7">$E$3*E32*J32</f>
        <v>0</v>
      </c>
      <c r="J32" s="34"/>
      <c r="K32" s="1">
        <f t="shared" ref="K32" si="8">($E$3*E32)-(H32+I32)</f>
        <v>22.909029026732746</v>
      </c>
      <c r="L32" s="33"/>
      <c r="M32" s="1">
        <f t="shared" ref="M32" si="9">SUM(H32,I32,K32)</f>
        <v>32.80216069119809</v>
      </c>
      <c r="N32" s="189">
        <v>3.4340144681096349E-2</v>
      </c>
      <c r="O32"/>
      <c r="P32" s="151"/>
      <c r="Q32" s="43"/>
      <c r="R32" s="45"/>
      <c r="S32" s="45"/>
    </row>
    <row r="33" spans="2:19">
      <c r="B33" s="19"/>
      <c r="C33" s="178">
        <v>1171</v>
      </c>
      <c r="D33" s="179" t="s">
        <v>178</v>
      </c>
      <c r="E33" s="7">
        <f t="shared" si="5"/>
        <v>4.4182654068809189E-3</v>
      </c>
      <c r="F33" s="34">
        <v>0.5</v>
      </c>
      <c r="G33" s="34">
        <v>4.376E-2</v>
      </c>
      <c r="H33" s="1">
        <f t="shared" ref="H33:H67" si="10">$E$3*E33*F33*(1-G33)</f>
        <v>5.6204772075127938</v>
      </c>
      <c r="I33" s="1">
        <f t="shared" ref="I33:I67" si="11">$E$3*E33*J33</f>
        <v>0</v>
      </c>
      <c r="J33" s="34"/>
      <c r="K33" s="1">
        <f t="shared" ref="K33:K67" si="12">($E$3*E33)-(H33+I33)</f>
        <v>6.1348921715401517</v>
      </c>
      <c r="L33" s="33"/>
      <c r="M33" s="1">
        <f t="shared" ref="M33:M67" si="13">SUM(H33,I33,K33)</f>
        <v>11.755369379052945</v>
      </c>
      <c r="N33" s="189">
        <v>1.2306539470271206E-2</v>
      </c>
      <c r="O33"/>
      <c r="P33" s="151"/>
      <c r="Q33" s="43"/>
      <c r="R33" s="45"/>
      <c r="S33" s="45"/>
    </row>
    <row r="34" spans="2:19">
      <c r="B34" s="19"/>
      <c r="C34" s="178">
        <v>1432</v>
      </c>
      <c r="D34" s="179" t="s">
        <v>179</v>
      </c>
      <c r="E34" s="7">
        <f t="shared" si="5"/>
        <v>4.5527793419850218E-3</v>
      </c>
      <c r="F34" s="34">
        <v>0.5</v>
      </c>
      <c r="G34" s="34">
        <v>0</v>
      </c>
      <c r="H34" s="1">
        <f t="shared" si="10"/>
        <v>6.0566305934230629</v>
      </c>
      <c r="I34" s="1">
        <f t="shared" si="11"/>
        <v>0</v>
      </c>
      <c r="J34" s="34"/>
      <c r="K34" s="1">
        <f t="shared" si="12"/>
        <v>6.0566305934230629</v>
      </c>
      <c r="L34" s="33"/>
      <c r="M34" s="1">
        <f t="shared" si="13"/>
        <v>12.113261186846126</v>
      </c>
      <c r="N34" s="189">
        <v>1.2681211632129579E-2</v>
      </c>
      <c r="O34"/>
      <c r="P34" s="151"/>
      <c r="Q34" s="43"/>
      <c r="R34" s="45"/>
      <c r="S34" s="45"/>
    </row>
    <row r="35" spans="2:19">
      <c r="B35" s="19"/>
      <c r="C35" s="178">
        <v>1433</v>
      </c>
      <c r="D35" s="179" t="s">
        <v>180</v>
      </c>
      <c r="E35" s="7">
        <f t="shared" si="5"/>
        <v>5.6030227583747476E-3</v>
      </c>
      <c r="F35" s="34">
        <v>0.5</v>
      </c>
      <c r="G35" s="34">
        <v>0</v>
      </c>
      <c r="H35" s="1">
        <f t="shared" si="10"/>
        <v>7.4537851507695185</v>
      </c>
      <c r="I35" s="1">
        <f t="shared" si="11"/>
        <v>0</v>
      </c>
      <c r="J35" s="34"/>
      <c r="K35" s="1">
        <f t="shared" si="12"/>
        <v>7.4537851507695185</v>
      </c>
      <c r="L35" s="33"/>
      <c r="M35" s="1">
        <f t="shared" si="13"/>
        <v>14.907570301539037</v>
      </c>
      <c r="N35" s="189">
        <v>1.5606536588177651E-2</v>
      </c>
      <c r="O35"/>
      <c r="P35" s="151"/>
      <c r="Q35" s="43"/>
      <c r="R35" s="45"/>
      <c r="S35" s="45"/>
    </row>
    <row r="36" spans="2:19">
      <c r="B36" s="19"/>
      <c r="C36" s="178">
        <v>1434</v>
      </c>
      <c r="D36" s="179" t="s">
        <v>181</v>
      </c>
      <c r="E36" s="7">
        <f t="shared" si="5"/>
        <v>3.5439248287042501E-3</v>
      </c>
      <c r="F36" s="34">
        <v>0.5</v>
      </c>
      <c r="G36" s="34">
        <v>0</v>
      </c>
      <c r="H36" s="1">
        <f t="shared" si="10"/>
        <v>4.7145363141986349</v>
      </c>
      <c r="I36" s="1">
        <f t="shared" si="11"/>
        <v>0</v>
      </c>
      <c r="J36" s="34"/>
      <c r="K36" s="1">
        <f t="shared" si="12"/>
        <v>4.7145363141986349</v>
      </c>
      <c r="L36" s="33"/>
      <c r="M36" s="1">
        <f t="shared" si="13"/>
        <v>9.4290726283972699</v>
      </c>
      <c r="N36" s="189">
        <v>9.8711704181917749E-3</v>
      </c>
      <c r="O36"/>
      <c r="P36" s="151"/>
      <c r="Q36" s="43"/>
      <c r="R36" s="45"/>
      <c r="S36" s="45"/>
    </row>
    <row r="37" spans="2:19">
      <c r="B37" s="19"/>
      <c r="C37" s="178">
        <v>1442</v>
      </c>
      <c r="D37" s="179" t="s">
        <v>182</v>
      </c>
      <c r="E37" s="7">
        <f t="shared" si="5"/>
        <v>1.4744796732565125E-3</v>
      </c>
      <c r="F37" s="34"/>
      <c r="G37" s="34">
        <v>0</v>
      </c>
      <c r="H37" s="1">
        <f t="shared" si="10"/>
        <v>0</v>
      </c>
      <c r="I37" s="1">
        <f t="shared" si="11"/>
        <v>0</v>
      </c>
      <c r="J37" s="34"/>
      <c r="K37" s="1">
        <f t="shared" si="12"/>
        <v>3.9230448161944835</v>
      </c>
      <c r="L37" s="33"/>
      <c r="M37" s="1">
        <f t="shared" si="13"/>
        <v>3.9230448161944835</v>
      </c>
      <c r="N37" s="189">
        <v>4.1069833126783292E-3</v>
      </c>
      <c r="O37"/>
      <c r="P37" s="151"/>
      <c r="Q37" s="43"/>
      <c r="R37" s="45"/>
      <c r="S37" s="45"/>
    </row>
    <row r="38" spans="2:19">
      <c r="B38" s="19"/>
      <c r="C38" s="178">
        <v>1441</v>
      </c>
      <c r="D38" s="179" t="s">
        <v>183</v>
      </c>
      <c r="E38" s="7">
        <f t="shared" si="5"/>
        <v>2.5868064443096716E-3</v>
      </c>
      <c r="F38" s="34"/>
      <c r="G38" s="34">
        <v>0</v>
      </c>
      <c r="H38" s="1">
        <f t="shared" ref="H38:H60" si="14">$E$3*E38*F38*(1-G38)</f>
        <v>0</v>
      </c>
      <c r="I38" s="1">
        <f t="shared" ref="I38:I60" si="15">$E$3*E38*J38</f>
        <v>0</v>
      </c>
      <c r="J38" s="34"/>
      <c r="K38" s="1">
        <f t="shared" ref="K38:K60" si="16">($E$3*E38)-(H38+I38)</f>
        <v>6.8825347652534816</v>
      </c>
      <c r="L38" s="33"/>
      <c r="M38" s="1">
        <f t="shared" ref="M38:M60" si="17">SUM(H38,I38,K38)</f>
        <v>6.8825347652534816</v>
      </c>
      <c r="N38" s="189">
        <v>7.2052338818918062E-3</v>
      </c>
      <c r="O38"/>
      <c r="P38" s="151"/>
      <c r="Q38" s="43"/>
      <c r="R38" s="45"/>
      <c r="S38" s="45"/>
    </row>
    <row r="39" spans="2:19">
      <c r="B39" s="19"/>
      <c r="C39" s="178">
        <v>1443</v>
      </c>
      <c r="D39" s="179" t="s">
        <v>180</v>
      </c>
      <c r="E39" s="7">
        <f t="shared" si="5"/>
        <v>6.3635438530017909E-3</v>
      </c>
      <c r="F39" s="34"/>
      <c r="G39" s="34">
        <v>0</v>
      </c>
      <c r="H39" s="1">
        <f t="shared" si="14"/>
        <v>0</v>
      </c>
      <c r="I39" s="1">
        <f t="shared" si="15"/>
        <v>0</v>
      </c>
      <c r="J39" s="34"/>
      <c r="K39" s="1">
        <f t="shared" si="16"/>
        <v>16.931035522523562</v>
      </c>
      <c r="L39" s="33"/>
      <c r="M39" s="1">
        <f t="shared" si="17"/>
        <v>16.931035522523562</v>
      </c>
      <c r="N39" s="189">
        <v>1.7724875349453842E-2</v>
      </c>
      <c r="O39"/>
      <c r="P39" s="151"/>
      <c r="Q39" s="43"/>
      <c r="R39" s="45"/>
      <c r="S39" s="45"/>
    </row>
    <row r="40" spans="2:19">
      <c r="B40" s="19"/>
      <c r="C40" s="178">
        <v>1444</v>
      </c>
      <c r="D40" s="179" t="s">
        <v>181</v>
      </c>
      <c r="E40" s="7">
        <f t="shared" si="5"/>
        <v>3.2179872167212311E-3</v>
      </c>
      <c r="F40" s="34"/>
      <c r="G40" s="34">
        <v>0</v>
      </c>
      <c r="H40" s="1">
        <f t="shared" si="14"/>
        <v>0</v>
      </c>
      <c r="I40" s="1">
        <f t="shared" si="15"/>
        <v>0</v>
      </c>
      <c r="J40" s="34"/>
      <c r="K40" s="1">
        <f t="shared" si="16"/>
        <v>8.5618732479753294</v>
      </c>
      <c r="L40" s="33"/>
      <c r="M40" s="1">
        <f t="shared" si="17"/>
        <v>8.5618732479753294</v>
      </c>
      <c r="N40" s="189">
        <v>8.963310949073407E-3</v>
      </c>
      <c r="O40"/>
      <c r="P40" s="151"/>
      <c r="Q40" s="43"/>
      <c r="R40" s="45"/>
      <c r="S40" s="45"/>
    </row>
    <row r="41" spans="2:19">
      <c r="B41" s="19"/>
      <c r="C41" s="178">
        <v>1456</v>
      </c>
      <c r="D41" s="179" t="s">
        <v>184</v>
      </c>
      <c r="E41" s="7">
        <f t="shared" si="5"/>
        <v>1.5236289956983964E-2</v>
      </c>
      <c r="F41" s="34">
        <v>0.75</v>
      </c>
      <c r="G41" s="34">
        <v>0</v>
      </c>
      <c r="H41" s="1">
        <f t="shared" si="14"/>
        <v>30.403597325507249</v>
      </c>
      <c r="I41" s="1">
        <f t="shared" si="15"/>
        <v>0</v>
      </c>
      <c r="J41" s="34"/>
      <c r="K41" s="1">
        <f t="shared" si="16"/>
        <v>10.134532441835752</v>
      </c>
      <c r="L41" s="33"/>
      <c r="M41" s="1">
        <f t="shared" si="17"/>
        <v>40.538129767343001</v>
      </c>
      <c r="N41" s="189">
        <v>4.2438827564342738E-2</v>
      </c>
      <c r="O41"/>
      <c r="P41" s="151"/>
      <c r="Q41" s="43"/>
      <c r="R41" s="45"/>
      <c r="S41" s="45"/>
    </row>
    <row r="42" spans="2:19">
      <c r="B42" s="19"/>
      <c r="C42" s="178">
        <v>1465</v>
      </c>
      <c r="D42" s="179" t="s">
        <v>185</v>
      </c>
      <c r="E42" s="7">
        <f t="shared" si="5"/>
        <v>2.5868064443096716E-5</v>
      </c>
      <c r="F42" s="34"/>
      <c r="G42" s="34">
        <v>0</v>
      </c>
      <c r="H42" s="1">
        <f t="shared" si="14"/>
        <v>0</v>
      </c>
      <c r="I42" s="1">
        <f t="shared" si="15"/>
        <v>0</v>
      </c>
      <c r="J42" s="34"/>
      <c r="K42" s="1">
        <f t="shared" si="16"/>
        <v>6.8825347652534813E-2</v>
      </c>
      <c r="L42" s="33"/>
      <c r="M42" s="1">
        <f t="shared" si="17"/>
        <v>6.8825347652534813E-2</v>
      </c>
      <c r="N42" s="189">
        <v>7.2052338818918066E-5</v>
      </c>
      <c r="O42"/>
      <c r="P42" s="151"/>
      <c r="Q42" s="43"/>
      <c r="R42" s="45"/>
      <c r="S42" s="45"/>
    </row>
    <row r="43" spans="2:19">
      <c r="B43" s="19"/>
      <c r="C43" s="178">
        <v>1471</v>
      </c>
      <c r="D43" s="179" t="s">
        <v>186</v>
      </c>
      <c r="E43" s="7">
        <f t="shared" si="5"/>
        <v>1.583125543917519E-3</v>
      </c>
      <c r="F43" s="34">
        <v>0.5</v>
      </c>
      <c r="G43" s="34">
        <v>0.39679999999999999</v>
      </c>
      <c r="H43" s="1">
        <f t="shared" si="14"/>
        <v>1.2703727609426751</v>
      </c>
      <c r="I43" s="1">
        <f t="shared" si="15"/>
        <v>0</v>
      </c>
      <c r="J43" s="34"/>
      <c r="K43" s="1">
        <f t="shared" si="16"/>
        <v>2.9417385153924549</v>
      </c>
      <c r="L43" s="33"/>
      <c r="M43" s="1">
        <f t="shared" si="17"/>
        <v>4.2121112763351301</v>
      </c>
      <c r="N43" s="189">
        <v>4.4096031357177858E-3</v>
      </c>
      <c r="O43"/>
      <c r="P43" s="151"/>
      <c r="Q43" s="43"/>
      <c r="R43" s="45"/>
      <c r="S43" s="45"/>
    </row>
    <row r="44" spans="2:19">
      <c r="B44" s="19"/>
      <c r="C44" s="178">
        <v>1472</v>
      </c>
      <c r="D44" s="179" t="s">
        <v>187</v>
      </c>
      <c r="E44" s="7">
        <f t="shared" si="5"/>
        <v>4.7648974704184149E-3</v>
      </c>
      <c r="F44" s="34">
        <v>0.5</v>
      </c>
      <c r="G44" s="34">
        <v>0.39679999999999999</v>
      </c>
      <c r="H44" s="1">
        <f t="shared" si="14"/>
        <v>3.8235729177392281</v>
      </c>
      <c r="I44" s="1">
        <f t="shared" si="15"/>
        <v>0</v>
      </c>
      <c r="J44" s="34"/>
      <c r="K44" s="1">
        <f t="shared" si="16"/>
        <v>8.8540561198576846</v>
      </c>
      <c r="L44" s="33"/>
      <c r="M44" s="1">
        <f t="shared" si="17"/>
        <v>12.677629037596912</v>
      </c>
      <c r="N44" s="189">
        <v>1.3272040810444707E-2</v>
      </c>
      <c r="O44"/>
      <c r="P44" s="151"/>
      <c r="Q44" s="43"/>
      <c r="R44" s="45"/>
      <c r="S44" s="45"/>
    </row>
    <row r="45" spans="2:19">
      <c r="B45" s="19"/>
      <c r="C45" s="178">
        <v>1473</v>
      </c>
      <c r="D45" s="179" t="s">
        <v>188</v>
      </c>
      <c r="E45" s="7">
        <f t="shared" si="5"/>
        <v>2.5573168508445411E-2</v>
      </c>
      <c r="F45" s="34">
        <v>0.5</v>
      </c>
      <c r="G45" s="34">
        <v>0.39679999999999999</v>
      </c>
      <c r="H45" s="1">
        <f t="shared" si="14"/>
        <v>20.521086788691644</v>
      </c>
      <c r="I45" s="1">
        <f t="shared" si="15"/>
        <v>0</v>
      </c>
      <c r="J45" s="34"/>
      <c r="K45" s="1">
        <f t="shared" si="16"/>
        <v>47.519651900604259</v>
      </c>
      <c r="L45" s="33"/>
      <c r="M45" s="1">
        <f t="shared" si="17"/>
        <v>68.040738689295907</v>
      </c>
      <c r="N45" s="189">
        <v>7.1230942156382399E-2</v>
      </c>
      <c r="O45"/>
      <c r="P45" s="151"/>
      <c r="Q45" s="43"/>
      <c r="R45" s="45"/>
      <c r="S45" s="45"/>
    </row>
    <row r="46" spans="2:19">
      <c r="B46" s="19"/>
      <c r="C46" s="178">
        <v>1474</v>
      </c>
      <c r="D46" s="179" t="s">
        <v>189</v>
      </c>
      <c r="E46" s="7">
        <f t="shared" si="5"/>
        <v>6.5394466912148492E-3</v>
      </c>
      <c r="F46" s="34">
        <v>0.5</v>
      </c>
      <c r="G46" s="34">
        <v>0.39679999999999999</v>
      </c>
      <c r="H46" s="1">
        <f t="shared" si="14"/>
        <v>5.2475528425867362</v>
      </c>
      <c r="I46" s="1">
        <f t="shared" si="15"/>
        <v>0</v>
      </c>
      <c r="J46" s="34"/>
      <c r="K46" s="1">
        <f t="shared" si="16"/>
        <v>12.151495043974062</v>
      </c>
      <c r="L46" s="33"/>
      <c r="M46" s="1">
        <f t="shared" si="17"/>
        <v>17.399047886560798</v>
      </c>
      <c r="N46" s="189">
        <v>1.8214831253422485E-2</v>
      </c>
      <c r="O46"/>
      <c r="P46" s="151"/>
      <c r="Q46" s="43"/>
      <c r="R46" s="45"/>
      <c r="S46" s="45"/>
    </row>
    <row r="47" spans="2:19">
      <c r="B47" s="19"/>
      <c r="C47" s="178">
        <v>1481</v>
      </c>
      <c r="D47" s="179" t="s">
        <v>190</v>
      </c>
      <c r="E47" s="7">
        <f t="shared" si="5"/>
        <v>2.3332994127673234E-3</v>
      </c>
      <c r="F47" s="34">
        <v>0.5</v>
      </c>
      <c r="G47" s="34">
        <v>0.39679999999999999</v>
      </c>
      <c r="H47" s="1">
        <f t="shared" si="14"/>
        <v>1.8723467816508055</v>
      </c>
      <c r="I47" s="1">
        <f t="shared" si="15"/>
        <v>0</v>
      </c>
      <c r="J47" s="34"/>
      <c r="K47" s="1">
        <f t="shared" si="16"/>
        <v>4.3356995766078334</v>
      </c>
      <c r="L47" s="33"/>
      <c r="M47" s="1">
        <f t="shared" si="17"/>
        <v>6.2080463582586392</v>
      </c>
      <c r="N47" s="189">
        <v>6.4991209614664088E-3</v>
      </c>
      <c r="O47"/>
      <c r="P47" s="151"/>
      <c r="Q47" s="43"/>
      <c r="R47" s="45"/>
      <c r="S47" s="45"/>
    </row>
    <row r="48" spans="2:19">
      <c r="B48" s="19"/>
      <c r="C48" s="178">
        <v>1482</v>
      </c>
      <c r="D48" s="179" t="s">
        <v>191</v>
      </c>
      <c r="E48" s="7">
        <f t="shared" si="5"/>
        <v>1.9913236008295851E-2</v>
      </c>
      <c r="F48" s="34">
        <v>0.5</v>
      </c>
      <c r="G48" s="34">
        <v>0.39679999999999999</v>
      </c>
      <c r="H48" s="1">
        <f t="shared" si="14"/>
        <v>15.979296591073062</v>
      </c>
      <c r="I48" s="1">
        <f t="shared" si="15"/>
        <v>0</v>
      </c>
      <c r="J48" s="34"/>
      <c r="K48" s="1">
        <f t="shared" si="16"/>
        <v>37.00245603184824</v>
      </c>
      <c r="L48" s="33"/>
      <c r="M48" s="1">
        <f t="shared" si="17"/>
        <v>52.981752622921306</v>
      </c>
      <c r="N48" s="189">
        <v>5.5465890422803123E-2</v>
      </c>
      <c r="O48"/>
      <c r="P48" s="151"/>
      <c r="Q48" s="43"/>
      <c r="R48" s="45"/>
      <c r="S48" s="45"/>
    </row>
    <row r="49" spans="2:19">
      <c r="B49" s="19"/>
      <c r="C49" s="178">
        <v>1483</v>
      </c>
      <c r="D49" s="179" t="s">
        <v>192</v>
      </c>
      <c r="E49" s="7">
        <f t="shared" si="5"/>
        <v>8.5028327824458891E-2</v>
      </c>
      <c r="F49" s="34">
        <v>0.5</v>
      </c>
      <c r="G49" s="34">
        <v>0.39679999999999999</v>
      </c>
      <c r="H49" s="1">
        <f t="shared" si="14"/>
        <v>68.230641588538774</v>
      </c>
      <c r="I49" s="1">
        <f t="shared" si="15"/>
        <v>0</v>
      </c>
      <c r="J49" s="34"/>
      <c r="K49" s="1">
        <f t="shared" si="16"/>
        <v>157.99827614534314</v>
      </c>
      <c r="L49" s="33"/>
      <c r="M49" s="1">
        <f t="shared" si="17"/>
        <v>226.22891773388193</v>
      </c>
      <c r="N49" s="189">
        <v>0.23683603769778366</v>
      </c>
      <c r="O49"/>
      <c r="P49" s="151"/>
      <c r="Q49" s="43"/>
      <c r="R49" s="45"/>
      <c r="S49" s="45"/>
    </row>
    <row r="50" spans="2:19">
      <c r="B50" s="19"/>
      <c r="C50" s="178">
        <v>1484</v>
      </c>
      <c r="D50" s="179" t="s">
        <v>193</v>
      </c>
      <c r="E50" s="7">
        <f t="shared" si="5"/>
        <v>3.0689871655289944E-2</v>
      </c>
      <c r="F50" s="34">
        <v>0.5</v>
      </c>
      <c r="G50" s="34">
        <v>0.39679999999999999</v>
      </c>
      <c r="H50" s="1">
        <f t="shared" si="14"/>
        <v>24.626964764418137</v>
      </c>
      <c r="I50" s="1">
        <f t="shared" si="15"/>
        <v>0</v>
      </c>
      <c r="J50" s="34"/>
      <c r="K50" s="1">
        <f t="shared" si="16"/>
        <v>57.027427690549175</v>
      </c>
      <c r="L50" s="33"/>
      <c r="M50" s="1">
        <f t="shared" si="17"/>
        <v>81.654392454967308</v>
      </c>
      <c r="N50" s="189">
        <v>8.5482894774764395E-2</v>
      </c>
      <c r="O50"/>
      <c r="P50" s="151"/>
      <c r="Q50" s="43"/>
      <c r="R50" s="45"/>
      <c r="S50" s="45"/>
    </row>
    <row r="51" spans="2:19">
      <c r="B51" s="19"/>
      <c r="C51" s="178">
        <v>1485</v>
      </c>
      <c r="D51" s="179" t="s">
        <v>194</v>
      </c>
      <c r="E51" s="7">
        <f t="shared" si="5"/>
        <v>7.470697011166331E-3</v>
      </c>
      <c r="F51" s="34">
        <v>0.5</v>
      </c>
      <c r="G51" s="34">
        <v>0.39679999999999999</v>
      </c>
      <c r="H51" s="1">
        <f t="shared" si="14"/>
        <v>5.9948309372588984</v>
      </c>
      <c r="I51" s="1">
        <f t="shared" si="15"/>
        <v>0</v>
      </c>
      <c r="J51" s="34"/>
      <c r="K51" s="1">
        <f t="shared" si="16"/>
        <v>13.881929464793155</v>
      </c>
      <c r="L51" s="33"/>
      <c r="M51" s="1">
        <f t="shared" si="17"/>
        <v>19.876760402052053</v>
      </c>
      <c r="N51" s="189">
        <v>2.0808715450903535E-2</v>
      </c>
      <c r="O51"/>
      <c r="P51" s="151"/>
      <c r="Q51" s="43"/>
      <c r="R51" s="45"/>
      <c r="S51" s="45"/>
    </row>
    <row r="52" spans="2:19">
      <c r="B52" s="19"/>
      <c r="C52" s="178">
        <v>1551</v>
      </c>
      <c r="D52" s="179" t="s">
        <v>195</v>
      </c>
      <c r="E52" s="7">
        <f t="shared" si="5"/>
        <v>1.3172018414424846E-2</v>
      </c>
      <c r="F52" s="34">
        <v>0.5</v>
      </c>
      <c r="G52" s="34">
        <v>0.39679999999999999</v>
      </c>
      <c r="H52" s="1">
        <f t="shared" si="14"/>
        <v>10.569833494640688</v>
      </c>
      <c r="I52" s="1">
        <f t="shared" si="15"/>
        <v>0</v>
      </c>
      <c r="J52" s="34"/>
      <c r="K52" s="1">
        <f t="shared" si="16"/>
        <v>24.47603353003003</v>
      </c>
      <c r="L52" s="33"/>
      <c r="M52" s="1">
        <f t="shared" si="17"/>
        <v>35.04586702467072</v>
      </c>
      <c r="N52" s="189">
        <v>3.6689050926593074E-2</v>
      </c>
      <c r="O52"/>
      <c r="P52" s="151"/>
      <c r="Q52" s="43"/>
      <c r="R52" s="45"/>
      <c r="S52" s="45"/>
    </row>
    <row r="53" spans="2:19">
      <c r="B53" s="19"/>
      <c r="C53" s="178">
        <v>1771</v>
      </c>
      <c r="D53" s="179" t="s">
        <v>196</v>
      </c>
      <c r="E53" s="7">
        <f t="shared" si="5"/>
        <v>1.4217088217925954E-2</v>
      </c>
      <c r="F53" s="34">
        <v>0.5</v>
      </c>
      <c r="G53" s="34">
        <v>0.39679999999999999</v>
      </c>
      <c r="H53" s="1">
        <f t="shared" si="14"/>
        <v>11.40844557866167</v>
      </c>
      <c r="I53" s="1">
        <f t="shared" si="15"/>
        <v>0</v>
      </c>
      <c r="J53" s="34"/>
      <c r="K53" s="1">
        <f t="shared" si="16"/>
        <v>26.417965491171458</v>
      </c>
      <c r="L53" s="33"/>
      <c r="M53" s="1">
        <f t="shared" si="17"/>
        <v>37.826411069833128</v>
      </c>
      <c r="N53" s="189">
        <v>3.9599965414877369E-2</v>
      </c>
      <c r="O53"/>
      <c r="P53" s="151"/>
      <c r="Q53" s="43"/>
      <c r="R53" s="45"/>
      <c r="S53" s="45"/>
    </row>
    <row r="54" spans="2:19">
      <c r="B54" s="19"/>
      <c r="C54" s="178">
        <v>1821</v>
      </c>
      <c r="D54" s="179" t="s">
        <v>197</v>
      </c>
      <c r="E54" s="7">
        <f t="shared" si="5"/>
        <v>2.9955218625105995E-3</v>
      </c>
      <c r="F54" s="34">
        <v>0.01</v>
      </c>
      <c r="G54" s="34">
        <v>0</v>
      </c>
      <c r="H54" s="1">
        <f t="shared" si="14"/>
        <v>7.9699752581635308E-2</v>
      </c>
      <c r="I54" s="1">
        <f t="shared" si="15"/>
        <v>0</v>
      </c>
      <c r="J54" s="34"/>
      <c r="K54" s="1">
        <f t="shared" si="16"/>
        <v>7.8902755055818954</v>
      </c>
      <c r="L54" s="33"/>
      <c r="M54" s="1">
        <f t="shared" si="17"/>
        <v>7.9699752581635304</v>
      </c>
      <c r="N54" s="189">
        <v>8.343660835230712E-3</v>
      </c>
      <c r="O54"/>
      <c r="P54" s="151"/>
      <c r="Q54" s="43"/>
      <c r="R54" s="45"/>
      <c r="S54" s="45"/>
    </row>
    <row r="55" spans="2:19">
      <c r="B55" s="19"/>
      <c r="C55" s="178">
        <v>1841</v>
      </c>
      <c r="D55" s="179" t="s">
        <v>198</v>
      </c>
      <c r="E55" s="7">
        <f t="shared" si="5"/>
        <v>5.9030923059146707E-3</v>
      </c>
      <c r="F55" s="34">
        <v>0.01</v>
      </c>
      <c r="G55" s="34">
        <v>0</v>
      </c>
      <c r="H55" s="1">
        <f t="shared" si="14"/>
        <v>0.15705944334308444</v>
      </c>
      <c r="I55" s="1">
        <f t="shared" si="15"/>
        <v>0</v>
      </c>
      <c r="J55" s="34"/>
      <c r="K55" s="1">
        <f t="shared" si="16"/>
        <v>15.548884890965359</v>
      </c>
      <c r="L55" s="33"/>
      <c r="M55" s="1">
        <f t="shared" si="17"/>
        <v>15.705944334308445</v>
      </c>
      <c r="N55" s="189">
        <v>1.6442343718477102E-2</v>
      </c>
      <c r="O55"/>
      <c r="P55" s="151"/>
      <c r="Q55" s="43"/>
      <c r="R55" s="45"/>
      <c r="S55" s="45"/>
    </row>
    <row r="56" spans="2:19">
      <c r="B56" s="19"/>
      <c r="C56" s="178">
        <v>2231</v>
      </c>
      <c r="D56" s="179" t="s">
        <v>199</v>
      </c>
      <c r="E56" s="7">
        <f t="shared" si="5"/>
        <v>5.1736128886193433E-5</v>
      </c>
      <c r="F56" s="34">
        <v>0</v>
      </c>
      <c r="G56" s="34">
        <v>0</v>
      </c>
      <c r="H56" s="1">
        <f t="shared" si="14"/>
        <v>0</v>
      </c>
      <c r="I56" s="1">
        <f t="shared" si="15"/>
        <v>0</v>
      </c>
      <c r="J56" s="34"/>
      <c r="K56" s="1">
        <f t="shared" si="16"/>
        <v>0.13765069530506963</v>
      </c>
      <c r="L56" s="33"/>
      <c r="M56" s="1">
        <f t="shared" si="17"/>
        <v>0.13765069530506963</v>
      </c>
      <c r="N56" s="189">
        <v>1.4410467763783613E-4</v>
      </c>
      <c r="O56"/>
      <c r="P56" s="151"/>
      <c r="Q56" s="43"/>
      <c r="R56" s="45"/>
      <c r="S56" s="45"/>
    </row>
    <row r="57" spans="2:19">
      <c r="B57" s="19"/>
      <c r="C57" s="178">
        <v>3591</v>
      </c>
      <c r="D57" s="179" t="s">
        <v>200</v>
      </c>
      <c r="E57" s="7">
        <f t="shared" si="5"/>
        <v>2.7937509598544453E-4</v>
      </c>
      <c r="F57" s="34">
        <v>0</v>
      </c>
      <c r="G57" s="34">
        <v>0.39679999999999999</v>
      </c>
      <c r="H57" s="1">
        <f t="shared" si="14"/>
        <v>0</v>
      </c>
      <c r="I57" s="1">
        <f t="shared" si="15"/>
        <v>0</v>
      </c>
      <c r="J57" s="34"/>
      <c r="K57" s="1">
        <f t="shared" si="16"/>
        <v>0.74331375464737592</v>
      </c>
      <c r="L57" s="33"/>
      <c r="M57" s="1">
        <f t="shared" si="17"/>
        <v>0.74331375464737592</v>
      </c>
      <c r="N57" s="189">
        <v>7.7816525924431508E-4</v>
      </c>
      <c r="O57"/>
      <c r="P57" s="151"/>
      <c r="Q57" s="43"/>
      <c r="R57" s="45"/>
      <c r="S57" s="45"/>
    </row>
    <row r="58" spans="2:19">
      <c r="B58" s="19"/>
      <c r="C58" s="178">
        <v>5061</v>
      </c>
      <c r="D58" s="179" t="s">
        <v>201</v>
      </c>
      <c r="E58" s="7">
        <f t="shared" si="5"/>
        <v>2.0694451554477372E-5</v>
      </c>
      <c r="F58" s="34">
        <v>0.5</v>
      </c>
      <c r="G58" s="34">
        <v>0.39679999999999999</v>
      </c>
      <c r="H58" s="1">
        <f t="shared" si="14"/>
        <v>1.6606179881603598E-2</v>
      </c>
      <c r="I58" s="1">
        <f t="shared" si="15"/>
        <v>0</v>
      </c>
      <c r="J58" s="34"/>
      <c r="K58" s="1">
        <f t="shared" si="16"/>
        <v>3.8454098240424242E-2</v>
      </c>
      <c r="L58" s="33"/>
      <c r="M58" s="1">
        <f t="shared" si="17"/>
        <v>5.5060278122027836E-2</v>
      </c>
      <c r="N58" s="189">
        <v>5.7641871055134447E-5</v>
      </c>
      <c r="O58"/>
      <c r="P58" s="151"/>
      <c r="Q58" s="43"/>
      <c r="R58" s="45"/>
      <c r="S58" s="45"/>
    </row>
    <row r="59" spans="2:19">
      <c r="B59" s="19"/>
      <c r="C59" s="178">
        <v>5132</v>
      </c>
      <c r="D59" s="179" t="s">
        <v>202</v>
      </c>
      <c r="E59" s="7">
        <f t="shared" si="5"/>
        <v>5.3805574041641162E-4</v>
      </c>
      <c r="F59" s="34">
        <v>0.85</v>
      </c>
      <c r="G59" s="34">
        <v>0</v>
      </c>
      <c r="H59" s="1">
        <f t="shared" si="14"/>
        <v>1.2168321464968153</v>
      </c>
      <c r="I59" s="1">
        <f t="shared" si="15"/>
        <v>0</v>
      </c>
      <c r="J59" s="34"/>
      <c r="K59" s="1">
        <f t="shared" si="16"/>
        <v>0.21473508467590863</v>
      </c>
      <c r="L59" s="33"/>
      <c r="M59" s="1">
        <f t="shared" si="17"/>
        <v>1.4315672311727239</v>
      </c>
      <c r="N59" s="189">
        <v>1.4986886474334957E-3</v>
      </c>
      <c r="O59"/>
      <c r="P59" s="151"/>
      <c r="Q59" s="43"/>
      <c r="R59" s="45"/>
      <c r="S59" s="45"/>
    </row>
    <row r="60" spans="2:19">
      <c r="B60" s="19"/>
      <c r="C60" s="178">
        <v>5134</v>
      </c>
      <c r="D60" s="179" t="s">
        <v>203</v>
      </c>
      <c r="E60" s="7">
        <f t="shared" si="5"/>
        <v>6.6812036843630199E-2</v>
      </c>
      <c r="F60" s="34">
        <v>0.85</v>
      </c>
      <c r="G60" s="34">
        <v>0</v>
      </c>
      <c r="H60" s="1">
        <f t="shared" si="14"/>
        <v>151.09779172942189</v>
      </c>
      <c r="I60" s="1">
        <f t="shared" si="15"/>
        <v>0</v>
      </c>
      <c r="J60" s="34"/>
      <c r="K60" s="1">
        <f t="shared" si="16"/>
        <v>26.66431618754504</v>
      </c>
      <c r="L60" s="33"/>
      <c r="M60" s="1">
        <f t="shared" si="17"/>
        <v>177.76210791696693</v>
      </c>
      <c r="N60" s="189">
        <v>0.18609678070150157</v>
      </c>
      <c r="O60"/>
      <c r="P60" s="151"/>
      <c r="Q60" s="43"/>
      <c r="R60" s="45"/>
      <c r="S60" s="45"/>
    </row>
    <row r="61" spans="2:19">
      <c r="B61" s="19"/>
      <c r="C61" s="178">
        <v>5771</v>
      </c>
      <c r="D61" s="179" t="s">
        <v>204</v>
      </c>
      <c r="E61" s="7">
        <f t="shared" si="5"/>
        <v>2.2556952194380331E-3</v>
      </c>
      <c r="F61" s="34">
        <v>0.5</v>
      </c>
      <c r="G61" s="34">
        <v>0.39679999999999999</v>
      </c>
      <c r="H61" s="1">
        <f t="shared" si="10"/>
        <v>1.8100736070947918</v>
      </c>
      <c r="I61" s="1">
        <f t="shared" si="11"/>
        <v>0</v>
      </c>
      <c r="J61" s="34"/>
      <c r="K61" s="1">
        <f t="shared" si="12"/>
        <v>4.1914967082062429</v>
      </c>
      <c r="L61" s="33"/>
      <c r="M61" s="1">
        <f t="shared" si="13"/>
        <v>6.0015703153010342</v>
      </c>
      <c r="N61" s="189">
        <v>6.2829639450096546E-3</v>
      </c>
      <c r="O61"/>
      <c r="P61" s="151"/>
      <c r="Q61" s="43"/>
      <c r="R61" s="45"/>
      <c r="S61" s="45"/>
    </row>
    <row r="62" spans="2:19">
      <c r="B62" s="19"/>
      <c r="C62" s="178">
        <v>7071</v>
      </c>
      <c r="D62" s="179" t="s">
        <v>205</v>
      </c>
      <c r="E62" s="7">
        <f t="shared" si="5"/>
        <v>2.5868064443096716E-5</v>
      </c>
      <c r="F62" s="34"/>
      <c r="G62" s="34">
        <v>0</v>
      </c>
      <c r="H62" s="1">
        <f t="shared" si="10"/>
        <v>0</v>
      </c>
      <c r="I62" s="1">
        <f t="shared" si="11"/>
        <v>0</v>
      </c>
      <c r="J62" s="34"/>
      <c r="K62" s="1">
        <f t="shared" si="12"/>
        <v>6.8825347652534813E-2</v>
      </c>
      <c r="L62" s="33"/>
      <c r="M62" s="1">
        <f t="shared" si="13"/>
        <v>6.8825347652534813E-2</v>
      </c>
      <c r="N62" s="189">
        <v>7.2052338818918066E-5</v>
      </c>
      <c r="O62"/>
      <c r="P62" s="151"/>
      <c r="Q62" s="43"/>
      <c r="R62" s="45"/>
      <c r="S62" s="45"/>
    </row>
    <row r="63" spans="2:19">
      <c r="B63" s="19"/>
      <c r="C63" s="178">
        <v>8381</v>
      </c>
      <c r="D63" s="179" t="s">
        <v>206</v>
      </c>
      <c r="E63" s="7">
        <f t="shared" ref="E63:E65" si="18">IF(ISERROR(N63/$N$68*$E$24),0,(N63/$N$68*$E$24))</f>
        <v>7.2430580440670798E-5</v>
      </c>
      <c r="F63" s="34"/>
      <c r="G63" s="34">
        <v>0</v>
      </c>
      <c r="H63" s="1">
        <f t="shared" ref="H63:H65" si="19">$E$3*E63*F63*(1-G63)</f>
        <v>0</v>
      </c>
      <c r="I63" s="1">
        <f t="shared" ref="I63:I65" si="20">$E$3*E63*J63</f>
        <v>0</v>
      </c>
      <c r="J63" s="34"/>
      <c r="K63" s="1">
        <f t="shared" ref="K63:K65" si="21">($E$3*E63)-(H63+I63)</f>
        <v>0.19271097342709745</v>
      </c>
      <c r="L63" s="33"/>
      <c r="M63" s="1">
        <f t="shared" ref="M63:M65" si="22">SUM(H63,I63,K63)</f>
        <v>0.19271097342709745</v>
      </c>
      <c r="N63" s="189">
        <v>2.0174654869297058E-4</v>
      </c>
      <c r="O63"/>
      <c r="P63" s="151"/>
      <c r="Q63" s="43"/>
      <c r="R63" s="45"/>
      <c r="S63" s="45"/>
    </row>
    <row r="64" spans="2:19">
      <c r="B64" s="19"/>
      <c r="C64" s="178">
        <v>8391</v>
      </c>
      <c r="D64" s="179" t="s">
        <v>207</v>
      </c>
      <c r="E64" s="7">
        <f t="shared" si="18"/>
        <v>8.7951419106528832E-5</v>
      </c>
      <c r="F64" s="34">
        <v>0.75</v>
      </c>
      <c r="G64" s="34">
        <v>0.39679999999999999</v>
      </c>
      <c r="H64" s="1">
        <f t="shared" si="19"/>
        <v>0.10586439674522294</v>
      </c>
      <c r="I64" s="1">
        <f t="shared" si="20"/>
        <v>0</v>
      </c>
      <c r="J64" s="34"/>
      <c r="K64" s="1">
        <f t="shared" si="21"/>
        <v>0.12814178527339543</v>
      </c>
      <c r="L64" s="33"/>
      <c r="M64" s="1">
        <f t="shared" si="22"/>
        <v>0.23400618201861836</v>
      </c>
      <c r="N64" s="189">
        <v>2.4497795198432141E-4</v>
      </c>
      <c r="O64"/>
      <c r="P64" s="151"/>
      <c r="Q64" s="43"/>
      <c r="R64" s="45"/>
      <c r="S64" s="45"/>
    </row>
    <row r="65" spans="2:19">
      <c r="B65" s="19"/>
      <c r="C65" s="178">
        <v>8411</v>
      </c>
      <c r="D65" s="179" t="s">
        <v>208</v>
      </c>
      <c r="E65" s="7">
        <f t="shared" si="18"/>
        <v>5.2770851463917296E-4</v>
      </c>
      <c r="F65" s="34">
        <v>0.5</v>
      </c>
      <c r="G65" s="34">
        <v>0.39679999999999999</v>
      </c>
      <c r="H65" s="1">
        <f t="shared" si="19"/>
        <v>0.4234575869808917</v>
      </c>
      <c r="I65" s="1">
        <f t="shared" si="20"/>
        <v>0</v>
      </c>
      <c r="J65" s="34"/>
      <c r="K65" s="1">
        <f t="shared" si="21"/>
        <v>0.98057950513081837</v>
      </c>
      <c r="L65" s="33"/>
      <c r="M65" s="1">
        <f t="shared" si="22"/>
        <v>1.40403709211171</v>
      </c>
      <c r="N65" s="189">
        <v>1.4698677119059284E-3</v>
      </c>
      <c r="O65"/>
      <c r="P65" s="151"/>
      <c r="Q65" s="43"/>
      <c r="R65" s="45"/>
      <c r="S65" s="45"/>
    </row>
    <row r="66" spans="2:19">
      <c r="B66" s="19"/>
      <c r="C66" s="178">
        <v>8421</v>
      </c>
      <c r="D66" s="179" t="s">
        <v>209</v>
      </c>
      <c r="E66" s="7">
        <f>IF(ISERROR(N66/$N$68*$E$24),0,(N66/$N$68*$E$24))</f>
        <v>1.5313894150313255E-3</v>
      </c>
      <c r="F66" s="34">
        <v>0.5</v>
      </c>
      <c r="G66" s="34">
        <v>0.39679999999999999</v>
      </c>
      <c r="H66" s="1">
        <f t="shared" si="10"/>
        <v>1.2288573112386663</v>
      </c>
      <c r="I66" s="1">
        <f t="shared" si="11"/>
        <v>0</v>
      </c>
      <c r="J66" s="34"/>
      <c r="K66" s="1">
        <f t="shared" si="12"/>
        <v>2.8456032697913942</v>
      </c>
      <c r="L66" s="33"/>
      <c r="M66" s="1">
        <f t="shared" si="13"/>
        <v>4.0744605810300607</v>
      </c>
      <c r="N66" s="189">
        <v>4.2654984580799494E-3</v>
      </c>
      <c r="O66"/>
      <c r="P66" s="151"/>
      <c r="Q66" s="43"/>
      <c r="R66" s="45"/>
      <c r="S66" s="45"/>
    </row>
    <row r="67" spans="2:19">
      <c r="B67" s="19"/>
      <c r="C67" s="178">
        <v>8431</v>
      </c>
      <c r="D67" s="179" t="s">
        <v>210</v>
      </c>
      <c r="E67" s="7">
        <f>IF(ISERROR(N67/$N$68*$E$24),0,(N67/$N$68*$E$24))</f>
        <v>1.0864587066100621E-4</v>
      </c>
      <c r="F67" s="34">
        <v>0.5</v>
      </c>
      <c r="G67" s="34">
        <v>0.39679999999999999</v>
      </c>
      <c r="H67" s="1">
        <f t="shared" si="10"/>
        <v>8.7182444378418905E-2</v>
      </c>
      <c r="I67" s="1">
        <f t="shared" si="11"/>
        <v>0</v>
      </c>
      <c r="J67" s="34"/>
      <c r="K67" s="1">
        <f t="shared" si="12"/>
        <v>0.20188401576222734</v>
      </c>
      <c r="L67" s="33"/>
      <c r="M67" s="1">
        <f t="shared" si="13"/>
        <v>0.28906646014064624</v>
      </c>
      <c r="N67" s="189">
        <v>3.0261982303945588E-4</v>
      </c>
      <c r="O67"/>
      <c r="P67" s="151"/>
      <c r="Q67" s="43"/>
      <c r="R67" s="45"/>
      <c r="S67" s="45"/>
    </row>
    <row r="68" spans="2:19" s="23" customFormat="1">
      <c r="C68" s="199" t="s">
        <v>87</v>
      </c>
      <c r="D68" s="199"/>
      <c r="E68" s="159">
        <f>SUM(E31:E67)</f>
        <v>0.35901769279285073</v>
      </c>
      <c r="F68" s="160"/>
      <c r="G68" s="161"/>
      <c r="H68" s="153">
        <f>SUM(H31:H67)</f>
        <v>395.66456922921759</v>
      </c>
      <c r="I68" s="153">
        <f>SUM(I31:I67)</f>
        <v>0</v>
      </c>
      <c r="J68" s="160"/>
      <c r="K68" s="153">
        <f>SUM(K31:K67)</f>
        <v>559.54866577078246</v>
      </c>
      <c r="L68" s="160"/>
      <c r="M68" s="153">
        <f>SUM(M31:M67)</f>
        <v>955.2132350000004</v>
      </c>
      <c r="N68" s="190">
        <f>SUM(N31:N67)</f>
        <v>1</v>
      </c>
      <c r="O68"/>
      <c r="P68" s="150"/>
      <c r="Q68" s="27"/>
      <c r="R68" s="27"/>
      <c r="S68" s="27"/>
    </row>
    <row r="69" spans="2:19">
      <c r="C69" s="45"/>
      <c r="D69" s="27"/>
      <c r="E69" s="47"/>
      <c r="F69" s="47"/>
      <c r="G69" s="27"/>
      <c r="H69" s="27"/>
      <c r="I69" s="27"/>
      <c r="J69" s="27"/>
      <c r="K69" s="27"/>
      <c r="L69" s="27"/>
      <c r="M69" s="27"/>
      <c r="N69" s="182"/>
      <c r="O69"/>
    </row>
    <row r="70" spans="2:19" s="42" customFormat="1">
      <c r="B70" s="17" t="str">
        <f>CONCATENATE("*   Discounted for ",CtyNme," County Federal and non-Federal caseload statistics for Foster Care.")</f>
        <v>*   Discounted for Napa County Federal and non-Federal caseload statistics for Foster Care.</v>
      </c>
      <c r="C70" s="48"/>
      <c r="D70" s="48"/>
      <c r="E70" s="48"/>
      <c r="F70" s="48"/>
      <c r="G70" s="48"/>
      <c r="H70" s="48"/>
      <c r="I70" s="49"/>
      <c r="J70" s="49"/>
      <c r="K70" s="49"/>
      <c r="L70" s="49"/>
      <c r="M70" s="49"/>
      <c r="N70" s="191"/>
      <c r="P70" s="16"/>
      <c r="Q70" s="27"/>
      <c r="R70" s="27"/>
      <c r="S70" s="27"/>
    </row>
    <row r="71" spans="2:19" s="42" customFormat="1">
      <c r="B71" s="17" t="str">
        <f>CONCATENATE("**  Discounted for ",CtyNme," County Federal and non-Federal caseload statistics for Adoptions.")</f>
        <v>**  Discounted for Napa County Federal and non-Federal caseload statistics for Adoptions.</v>
      </c>
      <c r="C71" s="48"/>
      <c r="D71" s="48"/>
      <c r="E71" s="48"/>
      <c r="F71" s="48"/>
      <c r="G71" s="48"/>
      <c r="H71" s="48"/>
      <c r="I71" s="43"/>
      <c r="J71" s="43"/>
      <c r="K71" s="43"/>
      <c r="L71" s="43"/>
      <c r="N71" s="192"/>
      <c r="O71" s="44"/>
      <c r="P71" s="16"/>
      <c r="Q71" s="27"/>
      <c r="R71" s="27"/>
      <c r="S71" s="27"/>
    </row>
    <row r="72" spans="2:19" s="44" customFormat="1">
      <c r="B72" s="45"/>
      <c r="C72" s="10"/>
      <c r="D72" s="10"/>
      <c r="E72" s="10"/>
      <c r="F72" s="10"/>
      <c r="G72" s="10"/>
      <c r="H72" s="10"/>
      <c r="I72" s="45"/>
      <c r="J72" s="45"/>
      <c r="K72" s="45"/>
      <c r="L72" s="45"/>
      <c r="N72" s="193"/>
      <c r="P72" s="16"/>
      <c r="Q72" s="27"/>
      <c r="R72" s="27"/>
      <c r="S72" s="27"/>
    </row>
    <row r="73" spans="2:19" s="44" customFormat="1">
      <c r="B73" s="50"/>
      <c r="C73" s="45"/>
      <c r="D73" s="45"/>
      <c r="G73" s="45"/>
      <c r="H73" s="51"/>
      <c r="I73" s="52"/>
      <c r="J73" s="45"/>
      <c r="K73" s="45"/>
      <c r="L73" s="45"/>
      <c r="N73" s="193"/>
      <c r="P73" s="16"/>
      <c r="Q73" s="27"/>
      <c r="R73" s="27"/>
      <c r="S73" s="27"/>
    </row>
    <row r="74" spans="2:19" s="44" customFormat="1">
      <c r="B74" s="50"/>
      <c r="C74" s="53"/>
      <c r="D74" s="45"/>
      <c r="E74" s="45"/>
      <c r="F74" s="45"/>
      <c r="G74" s="45"/>
      <c r="H74" s="45"/>
      <c r="I74" s="45"/>
      <c r="J74" s="45"/>
      <c r="K74" s="45"/>
      <c r="L74" s="45"/>
      <c r="N74" s="193"/>
      <c r="P74" s="16"/>
      <c r="Q74" s="27"/>
      <c r="R74" s="27"/>
      <c r="S74" s="27"/>
    </row>
    <row r="75" spans="2:19" s="44" customFormat="1">
      <c r="B75" s="50"/>
      <c r="C75" s="45"/>
      <c r="D75" s="45"/>
      <c r="E75" s="45"/>
      <c r="F75" s="45"/>
      <c r="G75" s="45"/>
      <c r="H75" s="45"/>
      <c r="I75" s="45"/>
      <c r="J75" s="45"/>
      <c r="K75" s="45"/>
      <c r="L75" s="45"/>
      <c r="N75" s="193"/>
      <c r="P75" s="16"/>
      <c r="Q75" s="27"/>
      <c r="R75" s="27"/>
      <c r="S75" s="27"/>
    </row>
    <row r="76" spans="2:19" s="44" customFormat="1">
      <c r="B76" s="50"/>
      <c r="C76" s="45"/>
      <c r="D76" s="45"/>
      <c r="E76" s="45"/>
      <c r="F76" s="45"/>
      <c r="G76" s="45"/>
      <c r="H76" s="45"/>
      <c r="I76" s="45"/>
      <c r="J76" s="45"/>
      <c r="K76" s="45"/>
      <c r="L76" s="45"/>
      <c r="N76" s="193"/>
      <c r="P76" s="16"/>
      <c r="Q76" s="27"/>
      <c r="R76" s="27"/>
      <c r="S76" s="27"/>
    </row>
    <row r="77" spans="2:19" s="44" customFormat="1">
      <c r="B77" s="54"/>
      <c r="N77" s="193"/>
      <c r="P77" s="16"/>
      <c r="Q77" s="27"/>
      <c r="R77" s="27"/>
      <c r="S77" s="27"/>
    </row>
    <row r="78" spans="2:19" s="44" customFormat="1">
      <c r="B78" s="54"/>
      <c r="N78" s="193"/>
      <c r="P78" s="16"/>
      <c r="Q78" s="27"/>
      <c r="R78" s="27"/>
      <c r="S78" s="27"/>
    </row>
    <row r="79" spans="2:19" s="44" customFormat="1">
      <c r="B79" s="54"/>
      <c r="N79" s="193"/>
      <c r="P79" s="16"/>
      <c r="Q79" s="27"/>
      <c r="R79" s="27"/>
      <c r="S79" s="27"/>
    </row>
    <row r="80" spans="2:19" s="44" customFormat="1">
      <c r="B80" s="54"/>
      <c r="N80" s="193"/>
      <c r="P80" s="16"/>
      <c r="Q80" s="27"/>
      <c r="R80" s="27"/>
      <c r="S80" s="27"/>
    </row>
    <row r="81" spans="2:19" s="44" customFormat="1">
      <c r="B81" s="54"/>
      <c r="N81" s="193"/>
      <c r="P81" s="16"/>
      <c r="Q81" s="27"/>
      <c r="R81" s="27"/>
      <c r="S81" s="27"/>
    </row>
    <row r="82" spans="2:19" s="44" customFormat="1">
      <c r="B82" s="54"/>
      <c r="N82" s="193"/>
      <c r="P82" s="16"/>
      <c r="Q82" s="27"/>
      <c r="R82" s="27"/>
      <c r="S82" s="27"/>
    </row>
    <row r="83" spans="2:19" s="44" customFormat="1">
      <c r="B83" s="54"/>
      <c r="N83" s="193"/>
      <c r="P83" s="16"/>
      <c r="Q83" s="27"/>
      <c r="R83" s="27"/>
      <c r="S83" s="27"/>
    </row>
    <row r="84" spans="2:19" s="44" customFormat="1">
      <c r="B84" s="54"/>
      <c r="N84" s="193"/>
      <c r="P84" s="16"/>
      <c r="Q84" s="27"/>
      <c r="R84" s="27"/>
      <c r="S84" s="27"/>
    </row>
    <row r="85" spans="2:19" s="44" customFormat="1">
      <c r="B85" s="54"/>
      <c r="N85" s="193"/>
      <c r="O85" s="16"/>
      <c r="P85" s="16"/>
      <c r="Q85" s="27"/>
      <c r="R85" s="27"/>
      <c r="S85" s="27"/>
    </row>
  </sheetData>
  <mergeCells count="13">
    <mergeCell ref="C2:D2"/>
    <mergeCell ref="C3:D3"/>
    <mergeCell ref="C22:D22"/>
    <mergeCell ref="L1:M1"/>
    <mergeCell ref="K2:L2"/>
    <mergeCell ref="G2:H2"/>
    <mergeCell ref="C68:D68"/>
    <mergeCell ref="C7:M7"/>
    <mergeCell ref="C4:D4"/>
    <mergeCell ref="C24:D24"/>
    <mergeCell ref="C25:D25"/>
    <mergeCell ref="C5:D5"/>
    <mergeCell ref="D29:M29"/>
  </mergeCells>
  <phoneticPr fontId="9" type="noConversion"/>
  <conditionalFormatting sqref="E68">
    <cfRule type="cellIs" dxfId="5" priority="1" stopIfTrue="1" operator="notBetween">
      <formula>-0.00005</formula>
      <formula>1.00005</formula>
    </cfRule>
  </conditionalFormatting>
  <conditionalFormatting sqref="G31:G67">
    <cfRule type="cellIs" dxfId="4" priority="2" stopIfTrue="1" operator="equal">
      <formula>FALSE</formula>
    </cfRule>
  </conditionalFormatting>
  <conditionalFormatting sqref="J9:J21 L9:L21 F9:F21 F31:F67 L31:L67 J31:J67">
    <cfRule type="cellIs" dxfId="3" priority="3" stopIfTrue="1" operator="equal">
      <formula>0</formula>
    </cfRule>
  </conditionalFormatting>
  <conditionalFormatting sqref="D31:D67">
    <cfRule type="cellIs" dxfId="2" priority="4" stopIfTrue="1" operator="equal">
      <formula>"CODE NOT VALID"</formula>
    </cfRule>
  </conditionalFormatting>
  <conditionalFormatting sqref="E2">
    <cfRule type="cellIs" dxfId="1" priority="5" stopIfTrue="1" operator="notBetween">
      <formula>$E$3-0.5</formula>
      <formula>$E$3+0.5</formula>
    </cfRule>
    <cfRule type="cellIs" dxfId="0" priority="6" stopIfTrue="1" operator="between">
      <formula>$E$3-0.5</formula>
      <formula>$E$3+0.5</formula>
    </cfRule>
  </conditionalFormatting>
  <dataValidations xWindow="260" yWindow="420" count="5">
    <dataValidation type="custom" showInputMessage="1" showErrorMessage="1" errorTitle="Do Not Change" error="Select Cancel" promptTitle="Locked Cell" prompt="DO NOT Modify" sqref="I124:I65563 M124:M65563 C124:C65563">
      <formula1>"d1o2 n3o4t c5h6a7n9g0e1 t2h3i4s5 B296ield"</formula1>
    </dataValidation>
    <dataValidation type="custom" showInputMessage="1" showErrorMessage="1" errorTitle="Do Not Change" error="Select Cancel" promptTitle="Locked Cell" sqref="B124:B65563 B29">
      <formula1>"d1o2 n3o4t c5h6a7n9g0e1 t2h3i4s5 B296ield"</formula1>
    </dataValidation>
    <dataValidation type="list" showInputMessage="1" showErrorMessage="1" errorTitle="Program or Time Study Code" error="P or T" promptTitle="Program or TimeStudy Code" sqref="C29">
      <formula1>$A$28:$A$29</formula1>
    </dataValidation>
    <dataValidation type="decimal" allowBlank="1" showInputMessage="1" showErrorMessage="1" promptTitle="Adoptions Ineligible %" prompt="Enter the Federally Ineligible Adoptions Case Load percentage. This can be calculated by dividing the Federally Ineligible Adoptions Case Load count by the Total Adoption Case Load in the County." sqref="M2">
      <formula1>0</formula1>
      <formula2>100</formula2>
    </dataValidation>
    <dataValidation type="decimal" allowBlank="1" showInputMessage="1" showErrorMessage="1" promptTitle="FC Ineligible %" prompt="Enter the Federally Ineligible Foster Care Case Load percentage. This can be calculated by dividing the Federally Ineligible FC Case Load Total by the Total FC Case Load in the County." sqref="I2">
      <formula1>0</formula1>
      <formula2>100</formula2>
    </dataValidation>
  </dataValidations>
  <printOptions horizontalCentered="1"/>
  <pageMargins left="0.5" right="0.5" top="1" bottom="0.5" header="0.25" footer="0.5"/>
  <pageSetup scale="65" fitToHeight="11" orientation="portrait" r:id="rId1"/>
  <headerFooter alignWithMargins="0">
    <oddHeader>&amp;C&amp;"Arial,Bold"Appendix A
Cost Allocation Plan</oddHeader>
  </headerFooter>
  <ignoredErrors>
    <ignoredError sqref="E24:E25 E4:E5 K9:K21 L9:M21 J22 F22:G22 F10:F21 L22 G9:J21 E14 E19" evalError="1"/>
    <ignoredError sqref="I68 E32 K31:K32 H31:I32 M31:M32" unlockedFormula="1"/>
  </ignoredErrors>
  <drawing r:id="rId2"/>
  <legacyDrawing r:id="rId3"/>
  <controls>
    <mc:AlternateContent xmlns:mc="http://schemas.openxmlformats.org/markup-compatibility/2006">
      <mc:Choice Requires="x14">
        <control shapeId="5125" r:id="rId4" name="CommandButton2">
          <controlPr defaultSize="0" print="0" autoLine="0" r:id="rId5">
            <anchor moveWithCells="1">
              <from>
                <xdr:col>4</xdr:col>
                <xdr:colOff>0</xdr:colOff>
                <xdr:row>26</xdr:row>
                <xdr:rowOff>0</xdr:rowOff>
              </from>
              <to>
                <xdr:col>5</xdr:col>
                <xdr:colOff>38100</xdr:colOff>
                <xdr:row>27</xdr:row>
                <xdr:rowOff>114300</xdr:rowOff>
              </to>
            </anchor>
          </controlPr>
        </control>
      </mc:Choice>
      <mc:Fallback>
        <control shapeId="5125" r:id="rId4" name="CommandButton2"/>
      </mc:Fallback>
    </mc:AlternateContent>
    <mc:AlternateContent xmlns:mc="http://schemas.openxmlformats.org/markup-compatibility/2006">
      <mc:Choice Requires="x14">
        <control shapeId="5124" r:id="rId6" name="CommandButton1">
          <controlPr defaultSize="0" print="0" autoLine="0" autoPict="0" r:id="rId7">
            <anchor moveWithCells="1">
              <from>
                <xdr:col>2</xdr:col>
                <xdr:colOff>238125</xdr:colOff>
                <xdr:row>25</xdr:row>
                <xdr:rowOff>152400</xdr:rowOff>
              </from>
              <to>
                <xdr:col>3</xdr:col>
                <xdr:colOff>514350</xdr:colOff>
                <xdr:row>27</xdr:row>
                <xdr:rowOff>104775</xdr:rowOff>
              </to>
            </anchor>
          </controlPr>
        </control>
      </mc:Choice>
      <mc:Fallback>
        <control shapeId="5124" r:id="rId6" name="Command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Cost Detail</vt:lpstr>
      <vt:lpstr>Cost Allocation Plan</vt:lpstr>
      <vt:lpstr>ADpercent</vt:lpstr>
      <vt:lpstr>County</vt:lpstr>
      <vt:lpstr>CtyNme</vt:lpstr>
      <vt:lpstr>DeprTax</vt:lpstr>
      <vt:lpstr>DGSFee</vt:lpstr>
      <vt:lpstr>FCPercent</vt:lpstr>
      <vt:lpstr>FFY</vt:lpstr>
      <vt:lpstr>FY</vt:lpstr>
      <vt:lpstr>'Cost Allocation Plan'!Print_Area</vt:lpstr>
      <vt:lpstr>'Cost Detail'!Print_Area</vt:lpstr>
      <vt:lpstr>'Cost Allocation Plan'!Print_Titles</vt:lpstr>
      <vt:lpstr>'Cost Detail'!Print_Titles</vt:lpstr>
      <vt:lpstr>Tax</vt:lpstr>
      <vt:lpstr>VDate</vt:lpstr>
      <vt:lpstr>Version</vt:lpstr>
    </vt:vector>
  </TitlesOfParts>
  <Company>CWS/CMS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NGIT QA -- FG</dc:creator>
  <cp:lastModifiedBy>Haynes, Carol</cp:lastModifiedBy>
  <cp:lastPrinted>2012-11-22T00:14:04Z</cp:lastPrinted>
  <dcterms:created xsi:type="dcterms:W3CDTF">2005-03-07T18:23:48Z</dcterms:created>
  <dcterms:modified xsi:type="dcterms:W3CDTF">2018-05-29T15:24:44Z</dcterms:modified>
</cp:coreProperties>
</file>